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stocklandnet.sharepoint.com/teams/2YK5MV/CC/SUSTAINABILITY REPORTING/2023/15 FINALS/Website/"/>
    </mc:Choice>
  </mc:AlternateContent>
  <xr:revisionPtr revIDLastSave="6" documentId="8_{F62A0C3E-EA54-4DBB-9D71-706C0AD24D1E}" xr6:coauthVersionLast="47" xr6:coauthVersionMax="47" xr10:uidLastSave="{4ACF4AC9-5A78-4E58-A239-7B3A98F236B2}"/>
  <workbookProtection workbookAlgorithmName="SHA-512" workbookHashValue="yXftaAA3Mhmnp5xOjW6DWgS3EnN9T+BBxsv4ZSAIazWdzQRwzrLtCEomzyLQavjU5XfkbmC15lqviGH63RMERg==" workbookSaltValue="98tUx4o0tm2uPfHxFsXljA==" workbookSpinCount="100000" lockStructure="1"/>
  <bookViews>
    <workbookView xWindow="-108" yWindow="-108" windowWidth="30168" windowHeight="19584" tabRatio="714" firstSheet="4" activeTab="4" xr2:uid="{801DDC35-C4F8-4690-981B-102AD2EDD16F}"/>
  </bookViews>
  <sheets>
    <sheet name="Data Pack Overview" sheetId="1" r:id="rId1"/>
    <sheet name="PEOPLE&gt;&gt;" sheetId="43" r:id="rId2"/>
    <sheet name="Our Workforce" sheetId="32" r:id="rId3"/>
    <sheet name="Remuneration" sheetId="33" r:id="rId4"/>
    <sheet name="Employee Engagement" sheetId="34" r:id="rId5"/>
    <sheet name="Health and Safety_ OLD" sheetId="42" state="hidden" r:id="rId6"/>
    <sheet name="Health and Safety" sheetId="46" r:id="rId7"/>
    <sheet name="Diversity and Inclusion" sheetId="35" r:id="rId8"/>
    <sheet name="Human Capital Development" sheetId="36" r:id="rId9"/>
    <sheet name="ENVIRO &gt; &gt;" sheetId="9" r:id="rId10"/>
    <sheet name="Emissions" sheetId="45" r:id="rId11"/>
    <sheet name="Energy Consumption" sheetId="47" r:id="rId12"/>
    <sheet name="Water" sheetId="28" r:id="rId13"/>
    <sheet name="Waste" sheetId="29" r:id="rId14"/>
    <sheet name="Climate Resilience" sheetId="30" r:id="rId15"/>
    <sheet name="Asset Ratings" sheetId="31" r:id="rId16"/>
    <sheet name="Biodiversity" sheetId="15" r:id="rId17"/>
    <sheet name="COMMUNITY &gt; &gt;" sheetId="16" r:id="rId18"/>
    <sheet name="Community Investment" sheetId="40" r:id="rId19"/>
    <sheet name="Giving &amp; Volunteering" sheetId="25" r:id="rId20"/>
    <sheet name="CUSTOMER &gt; &gt;" sheetId="39" r:id="rId21"/>
    <sheet name="Customer Engagement" sheetId="38" r:id="rId22"/>
    <sheet name="GRI INDEX" sheetId="21" r:id="rId23"/>
    <sheet name="SASB INDEX" sheetId="22" r:id="rId24"/>
  </sheets>
  <externalReferences>
    <externalReference r:id="rId25"/>
  </externalReferences>
  <definedNames>
    <definedName name="_xlnm._FilterDatabase" localSheetId="15" hidden="1">'Asset Ratings'!$P$7:$S$60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9" i="45" l="1"/>
  <c r="C58" i="45"/>
  <c r="G35" i="47" l="1"/>
  <c r="F36" i="47" s="1"/>
  <c r="F35" i="47"/>
  <c r="E35" i="47"/>
  <c r="D35" i="47"/>
  <c r="C36" i="47" s="1"/>
  <c r="C40" i="47"/>
  <c r="J113" i="47"/>
  <c r="I113" i="47"/>
  <c r="H113" i="47"/>
  <c r="G113" i="47"/>
  <c r="F113" i="47"/>
  <c r="E113" i="47"/>
  <c r="D113" i="47"/>
  <c r="C113" i="47"/>
  <c r="D95" i="47"/>
  <c r="C95" i="47"/>
  <c r="D92" i="47"/>
  <c r="C92" i="47"/>
  <c r="J89" i="47"/>
  <c r="I89" i="47"/>
  <c r="H89" i="47"/>
  <c r="G89" i="47"/>
  <c r="F89" i="47"/>
  <c r="E89" i="47"/>
  <c r="D89" i="47"/>
  <c r="C89" i="47"/>
  <c r="D87" i="47"/>
  <c r="C87" i="47"/>
  <c r="F83" i="47"/>
  <c r="E83" i="47"/>
  <c r="D83" i="47"/>
  <c r="C83" i="47"/>
  <c r="J79" i="47"/>
  <c r="I79" i="47"/>
  <c r="H79" i="47"/>
  <c r="G79" i="47"/>
  <c r="F79" i="47"/>
  <c r="E79" i="47"/>
  <c r="D79" i="47"/>
  <c r="C79" i="47"/>
  <c r="I68" i="47"/>
  <c r="H68" i="47"/>
  <c r="G68" i="47"/>
  <c r="F68" i="47"/>
  <c r="E68" i="47"/>
  <c r="D68" i="47"/>
  <c r="C68" i="47"/>
  <c r="C67" i="47"/>
  <c r="D65" i="47"/>
  <c r="C65" i="47"/>
  <c r="I63" i="47"/>
  <c r="H63" i="47"/>
  <c r="G63" i="47"/>
  <c r="F63" i="47"/>
  <c r="E63" i="47"/>
  <c r="D63" i="47"/>
  <c r="C63" i="47"/>
  <c r="I58" i="47"/>
  <c r="H58" i="47"/>
  <c r="G58" i="47"/>
  <c r="F58" i="47"/>
  <c r="E58" i="47"/>
  <c r="D58" i="47"/>
  <c r="C58" i="47"/>
  <c r="C55" i="47"/>
  <c r="J44" i="47"/>
  <c r="I44" i="47"/>
  <c r="H44" i="47"/>
  <c r="G43" i="47"/>
  <c r="F43" i="47"/>
  <c r="E43" i="47"/>
  <c r="D43" i="47"/>
  <c r="J41" i="47"/>
  <c r="I41" i="47"/>
  <c r="H41" i="47"/>
  <c r="C38" i="47"/>
  <c r="J35" i="47"/>
  <c r="I35" i="47"/>
  <c r="I36" i="47" s="1"/>
  <c r="H35" i="47"/>
  <c r="C35" i="47"/>
  <c r="J14" i="47"/>
  <c r="I14" i="47"/>
  <c r="H14" i="47"/>
  <c r="C14" i="47"/>
  <c r="AE13" i="47"/>
  <c r="G14" i="47" s="1"/>
  <c r="AD13" i="47"/>
  <c r="F14" i="47" s="1"/>
  <c r="AB13" i="47"/>
  <c r="D14" i="47" s="1"/>
  <c r="AA13" i="47"/>
  <c r="E12" i="47"/>
  <c r="AC11" i="47"/>
  <c r="E11" i="47"/>
  <c r="AC10" i="47"/>
  <c r="E7" i="47"/>
  <c r="AC6" i="47"/>
  <c r="AC13" i="47" s="1"/>
  <c r="E14" i="47" s="1"/>
  <c r="G79" i="45"/>
  <c r="F79" i="45"/>
  <c r="E79" i="45"/>
  <c r="D79" i="45"/>
  <c r="G36" i="47" l="1"/>
  <c r="E36" i="47"/>
  <c r="D36" i="47"/>
  <c r="C43" i="47"/>
  <c r="H36" i="47"/>
  <c r="D9" i="45"/>
  <c r="G9" i="45"/>
  <c r="F9" i="45"/>
  <c r="E9" i="45"/>
  <c r="C108" i="45"/>
  <c r="G113" i="45"/>
  <c r="F113" i="45"/>
  <c r="E113" i="45"/>
  <c r="D113" i="45"/>
  <c r="G108" i="45"/>
  <c r="F108" i="45"/>
  <c r="E108" i="45"/>
  <c r="D108" i="45"/>
  <c r="G66" i="45"/>
  <c r="F66" i="45"/>
  <c r="E66" i="45"/>
  <c r="D66" i="45"/>
  <c r="G50" i="45"/>
  <c r="G130" i="45" s="1"/>
  <c r="F50" i="45"/>
  <c r="F130" i="45" s="1"/>
  <c r="E50" i="45"/>
  <c r="E130" i="45" s="1"/>
  <c r="D23" i="40" l="1"/>
  <c r="K66" i="45"/>
  <c r="D60" i="45"/>
  <c r="C60" i="45"/>
  <c r="D77" i="45" l="1"/>
  <c r="C89" i="45" l="1"/>
  <c r="C91" i="45" s="1"/>
  <c r="D91" i="45"/>
  <c r="C100" i="45"/>
  <c r="C110" i="45" s="1"/>
  <c r="C103" i="45"/>
  <c r="D103" i="45"/>
  <c r="E103" i="45"/>
  <c r="F103" i="45"/>
  <c r="G103" i="45"/>
  <c r="H103" i="45"/>
  <c r="I103" i="45"/>
  <c r="H108" i="45"/>
  <c r="I108" i="45"/>
  <c r="H113" i="45"/>
  <c r="I113" i="45"/>
  <c r="C77" i="45"/>
  <c r="C78" i="45"/>
  <c r="H79" i="45"/>
  <c r="I79" i="45"/>
  <c r="J79" i="45"/>
  <c r="D41" i="45"/>
  <c r="C44" i="45"/>
  <c r="D44" i="45"/>
  <c r="D46" i="45"/>
  <c r="D48" i="45"/>
  <c r="D49" i="45"/>
  <c r="H50" i="45"/>
  <c r="H8" i="45" s="1"/>
  <c r="H9" i="45" s="1"/>
  <c r="I50" i="45"/>
  <c r="I8" i="45" s="1"/>
  <c r="I9" i="45" s="1"/>
  <c r="J50" i="45"/>
  <c r="J8" i="45" s="1"/>
  <c r="J9" i="45" s="1"/>
  <c r="C54" i="45"/>
  <c r="D54" i="45"/>
  <c r="E54" i="45"/>
  <c r="E65" i="45" s="1"/>
  <c r="F54" i="45"/>
  <c r="G54" i="45"/>
  <c r="H54" i="45"/>
  <c r="H58" i="45" s="1"/>
  <c r="I54" i="45"/>
  <c r="I65" i="45" s="1"/>
  <c r="J54" i="45"/>
  <c r="J65" i="45" s="1"/>
  <c r="H56" i="45"/>
  <c r="I56" i="45"/>
  <c r="J56" i="45"/>
  <c r="H57" i="45"/>
  <c r="I57" i="45"/>
  <c r="J57" i="45"/>
  <c r="H59" i="45"/>
  <c r="I59" i="45"/>
  <c r="J59" i="45"/>
  <c r="D18" i="45"/>
  <c r="D21" i="45"/>
  <c r="D22" i="45"/>
  <c r="D23" i="45"/>
  <c r="D25" i="45"/>
  <c r="C27" i="45"/>
  <c r="D27" i="45"/>
  <c r="C28" i="45"/>
  <c r="E29" i="45"/>
  <c r="F29" i="45"/>
  <c r="G29" i="45"/>
  <c r="H29" i="45"/>
  <c r="I29" i="45"/>
  <c r="J29" i="45"/>
  <c r="C9" i="45"/>
  <c r="D19" i="40"/>
  <c r="D35" i="40" s="1"/>
  <c r="R60" i="31"/>
  <c r="J49" i="31"/>
  <c r="K49" i="31" s="1"/>
  <c r="F49" i="31"/>
  <c r="E49" i="31"/>
  <c r="I48" i="31"/>
  <c r="G48" i="31"/>
  <c r="I47" i="31"/>
  <c r="G47" i="31"/>
  <c r="I46" i="31"/>
  <c r="G46" i="31"/>
  <c r="I43" i="31"/>
  <c r="G43" i="31"/>
  <c r="I42" i="31"/>
  <c r="G42" i="31"/>
  <c r="I40" i="31"/>
  <c r="G40" i="31"/>
  <c r="I39" i="31"/>
  <c r="G39" i="31"/>
  <c r="I38" i="31"/>
  <c r="G38" i="31"/>
  <c r="I35" i="31"/>
  <c r="G35" i="31"/>
  <c r="I34" i="31"/>
  <c r="G34" i="31"/>
  <c r="I33" i="31"/>
  <c r="G33" i="31"/>
  <c r="I32" i="31"/>
  <c r="I49" i="31" s="1"/>
  <c r="H50" i="31" s="1"/>
  <c r="G32" i="31"/>
  <c r="G49" i="31" s="1"/>
  <c r="J29" i="31"/>
  <c r="K29" i="31" s="1"/>
  <c r="H29" i="31"/>
  <c r="F29" i="31"/>
  <c r="E29" i="31"/>
  <c r="I28" i="31"/>
  <c r="G28" i="31"/>
  <c r="I27" i="31"/>
  <c r="G27" i="31"/>
  <c r="I26" i="31"/>
  <c r="G26" i="31"/>
  <c r="I24" i="31"/>
  <c r="G24" i="31"/>
  <c r="I23" i="31"/>
  <c r="G23" i="31"/>
  <c r="I21" i="31"/>
  <c r="G21" i="31"/>
  <c r="I20" i="31"/>
  <c r="G20" i="31"/>
  <c r="I19" i="31"/>
  <c r="G19" i="31"/>
  <c r="G18" i="31"/>
  <c r="I17" i="31"/>
  <c r="G17" i="31"/>
  <c r="I16" i="31"/>
  <c r="I15" i="31"/>
  <c r="G15" i="31"/>
  <c r="I14" i="31"/>
  <c r="G14" i="31"/>
  <c r="I13" i="31"/>
  <c r="G13" i="31"/>
  <c r="I12" i="31"/>
  <c r="G12" i="31"/>
  <c r="I11" i="31"/>
  <c r="G11" i="31"/>
  <c r="G29" i="31" s="1"/>
  <c r="F30" i="31" s="1"/>
  <c r="I10" i="31"/>
  <c r="G10" i="31"/>
  <c r="I9" i="31"/>
  <c r="I29" i="31" s="1"/>
  <c r="H30" i="31" s="1"/>
  <c r="G9" i="31"/>
  <c r="D187" i="30"/>
  <c r="D148" i="30"/>
  <c r="E33" i="29"/>
  <c r="D33" i="29"/>
  <c r="C33" i="29"/>
  <c r="C22" i="29"/>
  <c r="N11" i="29"/>
  <c r="M11" i="29"/>
  <c r="L11" i="29"/>
  <c r="F11" i="29"/>
  <c r="D11" i="29"/>
  <c r="C11" i="29"/>
  <c r="K10" i="29"/>
  <c r="E10" i="29"/>
  <c r="K9" i="29"/>
  <c r="E9" i="29"/>
  <c r="K8" i="29"/>
  <c r="K11" i="29" s="1"/>
  <c r="E8" i="29"/>
  <c r="E11" i="29" s="1"/>
  <c r="I48" i="28"/>
  <c r="H48" i="28"/>
  <c r="G48" i="28"/>
  <c r="F48" i="28"/>
  <c r="E48" i="28"/>
  <c r="D48" i="28"/>
  <c r="C47" i="28"/>
  <c r="C48" i="28" s="1"/>
  <c r="J42" i="28"/>
  <c r="I42" i="28"/>
  <c r="I43" i="28" s="1"/>
  <c r="H42" i="28"/>
  <c r="H43" i="28" s="1"/>
  <c r="G42" i="28"/>
  <c r="G43" i="28" s="1"/>
  <c r="F42" i="28"/>
  <c r="F43" i="28" s="1"/>
  <c r="E42" i="28"/>
  <c r="E43" i="28" s="1"/>
  <c r="D42" i="28"/>
  <c r="D43" i="28" s="1"/>
  <c r="C42" i="28"/>
  <c r="C43" i="28" s="1"/>
  <c r="J30" i="28"/>
  <c r="I30" i="28"/>
  <c r="I31" i="28" s="1"/>
  <c r="H30" i="28"/>
  <c r="H31" i="28" s="1"/>
  <c r="G30" i="28"/>
  <c r="G31" i="28" s="1"/>
  <c r="F30" i="28"/>
  <c r="F31" i="28" s="1"/>
  <c r="E30" i="28"/>
  <c r="E31" i="28" s="1"/>
  <c r="D30" i="28"/>
  <c r="D31" i="28" s="1"/>
  <c r="C30" i="28"/>
  <c r="C31" i="28" s="1"/>
  <c r="H22" i="28"/>
  <c r="J21" i="28"/>
  <c r="I21" i="28"/>
  <c r="I22" i="28" s="1"/>
  <c r="H21" i="28"/>
  <c r="G21" i="28"/>
  <c r="G22" i="28" s="1"/>
  <c r="F21" i="28"/>
  <c r="F22" i="28" s="1"/>
  <c r="E21" i="28"/>
  <c r="E22" i="28" s="1"/>
  <c r="D21" i="28"/>
  <c r="D22" i="28" s="1"/>
  <c r="C21" i="28"/>
  <c r="C22" i="28" s="1"/>
  <c r="J13" i="28"/>
  <c r="I13" i="28"/>
  <c r="I14" i="28" s="1"/>
  <c r="H13" i="28"/>
  <c r="H14" i="28" s="1"/>
  <c r="G13" i="28"/>
  <c r="G14" i="28" s="1"/>
  <c r="F13" i="28"/>
  <c r="F14" i="28" s="1"/>
  <c r="E13" i="28"/>
  <c r="E14" i="28" s="1"/>
  <c r="D13" i="28"/>
  <c r="D14" i="28" s="1"/>
  <c r="C13" i="28"/>
  <c r="C14" i="28" s="1"/>
  <c r="D25" i="25"/>
  <c r="E24" i="25"/>
  <c r="E25" i="25" s="1"/>
  <c r="C10" i="25"/>
  <c r="D50" i="45" l="1"/>
  <c r="D130" i="45" s="1"/>
  <c r="D131" i="45"/>
  <c r="C50" i="45"/>
  <c r="C131" i="45" s="1"/>
  <c r="E63" i="45"/>
  <c r="G65" i="45"/>
  <c r="J58" i="45"/>
  <c r="J66" i="45" s="1"/>
  <c r="J63" i="45"/>
  <c r="C112" i="45"/>
  <c r="C113" i="45" s="1"/>
  <c r="H65" i="45"/>
  <c r="H66" i="45" s="1"/>
  <c r="H63" i="45"/>
  <c r="F65" i="45"/>
  <c r="C79" i="45"/>
  <c r="G63" i="45"/>
  <c r="F63" i="45"/>
  <c r="D63" i="45"/>
  <c r="D29" i="45"/>
  <c r="D125" i="45" s="1"/>
  <c r="D65" i="45"/>
  <c r="C29" i="45"/>
  <c r="C63" i="45"/>
  <c r="I63" i="45"/>
  <c r="I58" i="45"/>
  <c r="I66" i="45" s="1"/>
  <c r="F50" i="31"/>
  <c r="H49" i="31"/>
  <c r="C130" i="45" l="1"/>
  <c r="C132" i="45"/>
  <c r="C133" i="45"/>
  <c r="C134" i="45"/>
  <c r="C66" i="45"/>
  <c r="D124" i="45"/>
  <c r="D128" i="45"/>
  <c r="D126" i="45"/>
  <c r="D127" i="45"/>
  <c r="C126" i="45"/>
  <c r="C124" i="45"/>
  <c r="C128" i="45"/>
  <c r="C125" i="45"/>
  <c r="D134" i="45"/>
  <c r="D133" i="45"/>
  <c r="D132" i="45"/>
  <c r="C127" i="45"/>
</calcChain>
</file>

<file path=xl/sharedStrings.xml><?xml version="1.0" encoding="utf-8"?>
<sst xmlns="http://schemas.openxmlformats.org/spreadsheetml/2006/main" count="2973" uniqueCount="1708">
  <si>
    <t>FY23 ESG Data Pack</t>
  </si>
  <si>
    <t xml:space="preserve"> </t>
  </si>
  <si>
    <t xml:space="preserve">
This data pack contains comprehensive performance data sets on People, Environment, Community and Customer metrics.
</t>
  </si>
  <si>
    <t>People</t>
  </si>
  <si>
    <t>Environment</t>
  </si>
  <si>
    <t>Community</t>
  </si>
  <si>
    <t>Customer</t>
  </si>
  <si>
    <t xml:space="preserve">Our Workforce </t>
  </si>
  <si>
    <t>Energy Consumption</t>
  </si>
  <si>
    <t>Community Investment</t>
  </si>
  <si>
    <t>Customer Engagement</t>
  </si>
  <si>
    <t>Remuneration</t>
  </si>
  <si>
    <t>Emissions</t>
  </si>
  <si>
    <t>Giving &amp; Volunteering</t>
  </si>
  <si>
    <t>Employee Engagement</t>
  </si>
  <si>
    <t>Water</t>
  </si>
  <si>
    <t>Diversity and Inclusion</t>
  </si>
  <si>
    <t>Waste</t>
  </si>
  <si>
    <t>Health and Safety</t>
  </si>
  <si>
    <t>Climate Resilience</t>
  </si>
  <si>
    <t>Human Capital Development</t>
  </si>
  <si>
    <t>Asset Ratings</t>
  </si>
  <si>
    <t>Indexes</t>
  </si>
  <si>
    <t>Biodiversity</t>
  </si>
  <si>
    <t>GRI Index</t>
  </si>
  <si>
    <t>SASB Index</t>
  </si>
  <si>
    <t>Stockland ESG Reporting Suite</t>
  </si>
  <si>
    <r>
      <t xml:space="preserve">Our ESG Data Pack should be read in conjunction with the </t>
    </r>
    <r>
      <rPr>
        <b/>
        <sz val="10"/>
        <rFont val="Arial"/>
        <family val="2"/>
      </rPr>
      <t>FY23 Annual Integrated Report</t>
    </r>
    <r>
      <rPr>
        <sz val="10"/>
        <rFont val="Arial"/>
        <family val="2"/>
      </rPr>
      <t xml:space="preserve"> and </t>
    </r>
    <r>
      <rPr>
        <b/>
        <sz val="10"/>
        <rFont val="Arial"/>
        <family val="2"/>
      </rPr>
      <t>ESG Management Approaches</t>
    </r>
    <r>
      <rPr>
        <sz val="10"/>
        <rFont val="Arial"/>
        <family val="2"/>
      </rPr>
      <t xml:space="preserve">. These documents are prepared in adherence to the International Integrated Reporting Framework principles of materiality, stakeholder responsiveness, and reliability and completeness. They are also prepared in accordance with the GRI Standards (Core) and the SASB Real Estate Standards, and are third party assured.
</t>
    </r>
    <r>
      <rPr>
        <b/>
        <sz val="10"/>
        <rFont val="Arial"/>
        <family val="2"/>
      </rPr>
      <t>ESG Management Approaches</t>
    </r>
    <r>
      <rPr>
        <sz val="10"/>
        <rFont val="Arial"/>
        <family val="2"/>
      </rPr>
      <t xml:space="preserve"> - how we respond to, manage and evaluate our material ESG matters. 
</t>
    </r>
    <r>
      <rPr>
        <b/>
        <sz val="10"/>
        <rFont val="Arial"/>
        <family val="2"/>
      </rPr>
      <t>Integrated Annual Report</t>
    </r>
    <r>
      <rPr>
        <sz val="10"/>
        <rFont val="Arial"/>
        <family val="2"/>
      </rPr>
      <t xml:space="preserve"> - information about Stockland, our strategy, our integrated financial and non-financial performance, risk management, corporate governance, remuneration and our financial statements.
</t>
    </r>
    <r>
      <rPr>
        <b/>
        <sz val="10"/>
        <rFont val="Arial"/>
        <family val="2"/>
      </rPr>
      <t>ESG Data Pack</t>
    </r>
    <r>
      <rPr>
        <sz val="10"/>
        <rFont val="Arial"/>
        <family val="2"/>
      </rPr>
      <t xml:space="preserve"> - comprehensive ESG data sets supporting our ESG Review, progress against year end targets, GRI and SASB references.</t>
    </r>
    <r>
      <rPr>
        <sz val="10"/>
        <color theme="1"/>
        <rFont val="Arial"/>
        <family val="2"/>
      </rPr>
      <t xml:space="preserve">
</t>
    </r>
    <r>
      <rPr>
        <b/>
        <sz val="10"/>
        <color theme="1"/>
        <rFont val="Arial"/>
        <family val="2"/>
      </rPr>
      <t>Climate Transition Action Plan</t>
    </r>
    <r>
      <rPr>
        <sz val="10"/>
        <color theme="1"/>
        <rFont val="Arial"/>
        <family val="2"/>
      </rPr>
      <t xml:space="preserve"> - information on our strategy and commitments towards achieving climate resilience and low-carbon practices, providing transparency on environmental risks and opportunities to assess long-term sustainability.                                                                                                                                                                                                                                                    To access these documents, visit</t>
    </r>
    <r>
      <rPr>
        <i/>
        <sz val="10"/>
        <color theme="1"/>
        <rFont val="Arial"/>
        <family val="2"/>
      </rPr>
      <t xml:space="preserve"> www.stockland.com.au/sustainability/downloads</t>
    </r>
  </si>
  <si>
    <t>Acknowledgement of Country</t>
  </si>
  <si>
    <t>Stockland acknowledges the Traditional Owners and Custodians of the lands on which we work and live within Australia. We would also like to pay our respects to their Elders, past, present and emerging, and acknowledge the ongoing connection that Aboriginal and Torres Strait Islander peoples have with Australia’s land and waters.</t>
  </si>
  <si>
    <t>Important notice</t>
  </si>
  <si>
    <t>Material Boundary Changes</t>
  </si>
  <si>
    <t>H</t>
  </si>
  <si>
    <t>PEOPLE</t>
  </si>
  <si>
    <t>We report our People data holistically due to our consistent approach to managing our people across our business units.</t>
  </si>
  <si>
    <t xml:space="preserve">Commitment and progress against People metrics are found in the following tabs with commentary in the integrated Annual Report. </t>
  </si>
  <si>
    <t>OUR WORKFORCE</t>
  </si>
  <si>
    <t>Total workforce</t>
  </si>
  <si>
    <t>Employment Status</t>
  </si>
  <si>
    <t>FY23</t>
  </si>
  <si>
    <t>FY22</t>
  </si>
  <si>
    <t>FY21</t>
  </si>
  <si>
    <t>FY20</t>
  </si>
  <si>
    <t>FY19</t>
  </si>
  <si>
    <t>By employment status</t>
  </si>
  <si>
    <t>Full Time</t>
  </si>
  <si>
    <r>
      <rPr>
        <sz val="8"/>
        <color rgb="FF000000"/>
        <rFont val="Arial"/>
        <family val="2"/>
      </rPr>
      <t>Permanent</t>
    </r>
    <r>
      <rPr>
        <vertAlign val="superscript"/>
        <sz val="8"/>
        <color rgb="FF000000"/>
        <rFont val="Arial"/>
        <family val="2"/>
      </rPr>
      <t>1</t>
    </r>
    <r>
      <rPr>
        <sz val="8"/>
        <color rgb="FF000000"/>
        <rFont val="Arial"/>
        <family val="2"/>
      </rPr>
      <t xml:space="preserve"> </t>
    </r>
  </si>
  <si>
    <r>
      <t>Fixed Term</t>
    </r>
    <r>
      <rPr>
        <vertAlign val="superscript"/>
        <sz val="8"/>
        <rFont val="Arial"/>
        <family val="2"/>
      </rPr>
      <t>2</t>
    </r>
    <r>
      <rPr>
        <sz val="8"/>
        <rFont val="Arial"/>
        <family val="2"/>
      </rPr>
      <t xml:space="preserve"> </t>
    </r>
  </si>
  <si>
    <t>Part Time</t>
  </si>
  <si>
    <t>Permanent</t>
  </si>
  <si>
    <t>Fixed Term</t>
  </si>
  <si>
    <r>
      <t>Casual</t>
    </r>
    <r>
      <rPr>
        <vertAlign val="superscript"/>
        <sz val="8"/>
        <rFont val="Arial"/>
        <family val="2"/>
      </rPr>
      <t>3</t>
    </r>
    <r>
      <rPr>
        <sz val="8"/>
        <rFont val="Arial"/>
        <family val="2"/>
      </rPr>
      <t xml:space="preserve"> </t>
    </r>
  </si>
  <si>
    <r>
      <t>Total Headcount</t>
    </r>
    <r>
      <rPr>
        <vertAlign val="superscript"/>
        <sz val="8"/>
        <rFont val="Arial"/>
        <family val="2"/>
      </rPr>
      <t>4</t>
    </r>
  </si>
  <si>
    <r>
      <t>FTE</t>
    </r>
    <r>
      <rPr>
        <b/>
        <vertAlign val="superscript"/>
        <sz val="8"/>
        <rFont val="Arial"/>
        <family val="2"/>
      </rPr>
      <t xml:space="preserve">5 </t>
    </r>
  </si>
  <si>
    <t>By region</t>
  </si>
  <si>
    <t>New South Wales</t>
  </si>
  <si>
    <t>Queensland</t>
  </si>
  <si>
    <t>Victoria</t>
  </si>
  <si>
    <t>Western Australia</t>
  </si>
  <si>
    <t>South Australia</t>
  </si>
  <si>
    <t>Australian Capital Territory</t>
  </si>
  <si>
    <t>Total</t>
  </si>
  <si>
    <t>1. Permanent employees are employed by Stockland on a full time (38 hours per week) or part time basis (less than 38 hours per week).</t>
  </si>
  <si>
    <t>2. Fixed term employees are employed by Stockland for a fixed term (their employment has an agreed end date).</t>
  </si>
  <si>
    <t>3. Casual employees are paid on an hourly basis.</t>
  </si>
  <si>
    <t>4. Total headcount includes permanent employees, fixed term employees and casual employees. It excludes Board members, temps, special contractors, vendors.</t>
  </si>
  <si>
    <t>5. Full Time Equivalent (FTE) adjusts head count for hours worked. It is calculated by dividing an employee’s working hours by the standard full time working hours (38). The FTE measure excludes casual employees.</t>
  </si>
  <si>
    <t>Workforce by gender</t>
  </si>
  <si>
    <t>Employment status</t>
  </si>
  <si>
    <t>Female</t>
  </si>
  <si>
    <t>Female %</t>
  </si>
  <si>
    <t>Male</t>
  </si>
  <si>
    <t>Male %</t>
  </si>
  <si>
    <r>
      <t>Total</t>
    </r>
    <r>
      <rPr>
        <b/>
        <vertAlign val="superscript"/>
        <sz val="8"/>
        <color theme="0"/>
        <rFont val="Arial"/>
        <family val="2"/>
      </rPr>
      <t>1</t>
    </r>
  </si>
  <si>
    <t>Full Time Permanent</t>
  </si>
  <si>
    <t>Part Time Permanent</t>
  </si>
  <si>
    <t>Casual</t>
  </si>
  <si>
    <t>1. Total does not include those who do not identify as a male or female (2).</t>
  </si>
  <si>
    <t>Workforce by age category</t>
  </si>
  <si>
    <t>Age</t>
  </si>
  <si>
    <r>
      <t>Total %</t>
    </r>
    <r>
      <rPr>
        <b/>
        <vertAlign val="superscript"/>
        <sz val="8"/>
        <color theme="0"/>
        <rFont val="Arial"/>
        <family val="2"/>
      </rPr>
      <t>1</t>
    </r>
  </si>
  <si>
    <t>&lt;25</t>
  </si>
  <si>
    <t>25 - &lt;35</t>
  </si>
  <si>
    <t>35 - &lt;45</t>
  </si>
  <si>
    <t>45 - &lt;55</t>
  </si>
  <si>
    <t>55 - &lt;65</t>
  </si>
  <si>
    <t>&gt;=65</t>
  </si>
  <si>
    <t>Median age of workforce</t>
  </si>
  <si>
    <t>Median age</t>
  </si>
  <si>
    <t>1. Parental leave return rates look at the return rates of employees who have returned from parental leave and either remain employed (returns) or exited either within 6 months or 12 months of return. Data updated as at start of June and captured Parental Leave commencements until end of FY22.</t>
  </si>
  <si>
    <t>REMUNERATION</t>
  </si>
  <si>
    <t>Remuneration ratio - Managing Director/employee</t>
  </si>
  <si>
    <t>The remuneration ratio for our highest paid employee to median employee salary is provided in the table below. Our Remuneration Report is contained within the Annual Report. We do not report on the ratio of standard entry level wage compared to minimum wage. Our operations are based in Australia and all employees are paid above the Australian minimum wage. For those employees with a relevant Award, we review their remuneration on an annual basis to provide for remuneration above the minimum rate in their Award. Gender pay equity ratio has been reported in the 'Diversity and Inclusion' tab.</t>
  </si>
  <si>
    <r>
      <t>Remuneration Measure</t>
    </r>
    <r>
      <rPr>
        <b/>
        <vertAlign val="superscript"/>
        <sz val="8"/>
        <color theme="0"/>
        <rFont val="Arial"/>
        <family val="2"/>
      </rPr>
      <t>1</t>
    </r>
  </si>
  <si>
    <r>
      <t>FY22</t>
    </r>
    <r>
      <rPr>
        <b/>
        <vertAlign val="superscript"/>
        <sz val="8"/>
        <color theme="0"/>
        <rFont val="Arial"/>
        <family val="2"/>
      </rPr>
      <t>3</t>
    </r>
  </si>
  <si>
    <r>
      <t>FY21</t>
    </r>
    <r>
      <rPr>
        <b/>
        <vertAlign val="superscript"/>
        <sz val="8"/>
        <color theme="0"/>
        <rFont val="Arial"/>
        <family val="2"/>
      </rPr>
      <t>2</t>
    </r>
  </si>
  <si>
    <t>FY18</t>
  </si>
  <si>
    <r>
      <t>Managing Director’s annual total compensation ÷ employee median annual total compensation</t>
    </r>
    <r>
      <rPr>
        <vertAlign val="superscript"/>
        <sz val="8"/>
        <color rgb="FF000000"/>
        <rFont val="Arial"/>
        <family val="2"/>
      </rPr>
      <t>4</t>
    </r>
  </si>
  <si>
    <t>% increase in Managing Director’s annual total compensation ÷ employee’s median % increase</t>
  </si>
  <si>
    <r>
      <t xml:space="preserve">6.32 </t>
    </r>
    <r>
      <rPr>
        <vertAlign val="superscript"/>
        <sz val="8"/>
        <color rgb="FF000000"/>
        <rFont val="Arial"/>
        <family val="2"/>
      </rPr>
      <t>5</t>
    </r>
  </si>
  <si>
    <t>1. Annual total compensation for each year is calculated as Fixed Pay Full Time Equivalent (FTE) (as at 30 June of end of performance year) + Short Term Incentive (STI) FTE (awarded for relevant performance year) + Long Term Incentive (LTI) (allocated at start of performance year), for employees who participated in the Remuneration Review plus sales employees paid on a commission basis.</t>
  </si>
  <si>
    <t>2. Managing Director and CEO did not receive a LTI in FY21.</t>
  </si>
  <si>
    <t>3. Calculations for FY22 includes employees from our retirement living operations which was later sold in FY23.</t>
  </si>
  <si>
    <t xml:space="preserve">4. For FY22, annual total compensation was calculated as Fixed Pay FTE (as at 1 July 2022) + STI FTE (awarded for FY22) + LTI (Tax exempt or performance rights allocated in FY22) + any commissions, higher duty allowances, and bonus payments. All employees who participated in the Remuneration Review. </t>
  </si>
  <si>
    <t>5. The CEO also received an LTI and STI in FY22, but did not receive an LTI in FY21, contributing to the large change in % increase between FY21 and FY22.</t>
  </si>
  <si>
    <t>EMPLOYEE ENGAGEMENT</t>
  </si>
  <si>
    <t>Our Voice Employee Engagement Survey</t>
  </si>
  <si>
    <t>We measure employee engagement through Our Voice employee surveys, independently administered by survey provider Willis Towers Watson. Selected survey results are provided in the table below, followed by metrics on absenteeism, new hires, turnover, and parental leave.</t>
  </si>
  <si>
    <t>Survey Benchmark</t>
  </si>
  <si>
    <r>
      <t>FY22 (H2)</t>
    </r>
    <r>
      <rPr>
        <b/>
        <vertAlign val="superscript"/>
        <sz val="8"/>
        <color theme="0"/>
        <rFont val="Arial"/>
        <family val="2"/>
      </rPr>
      <t>1</t>
    </r>
  </si>
  <si>
    <r>
      <t>FY22 (H1)</t>
    </r>
    <r>
      <rPr>
        <vertAlign val="superscript"/>
        <sz val="8"/>
        <color theme="0"/>
        <rFont val="Arial"/>
        <family val="2"/>
      </rPr>
      <t>1</t>
    </r>
  </si>
  <si>
    <t xml:space="preserve">FY21 </t>
  </si>
  <si>
    <t>Benchmark Components</t>
  </si>
  <si>
    <t>Employee engagement</t>
  </si>
  <si>
    <t>(H1) 88%</t>
  </si>
  <si>
    <t>- Level of employee support for Stockland values, goals, objectives, and culture
- Level of team morale
- Whether employees would recommend Stockland as a good place to work
- Whether employees are considering leaving Stockland
- Overall satisfaction with Stockland as a place to work</t>
  </si>
  <si>
    <t>8 points above Australian Norm</t>
  </si>
  <si>
    <t>5 points above Australian Norm</t>
  </si>
  <si>
    <t>Employees indicating they fully support the values for which Stockland stands</t>
  </si>
  <si>
    <t>(H1) 97%</t>
  </si>
  <si>
    <t>6 points above Australian National Norm</t>
  </si>
  <si>
    <t>Employees who believe strongly in the goals and objectives of Stockland</t>
  </si>
  <si>
    <t>(H1) 95%</t>
  </si>
  <si>
    <t>6 points above Australian Norm</t>
  </si>
  <si>
    <t>Other benchmarks</t>
  </si>
  <si>
    <t>Corporate responsibility and sustainability</t>
  </si>
  <si>
    <t>- Whether Stockland is an environmentally responsible company
- Whether employees are proud of Stockland's contribution to the community
- Whether Stockland achieves a balance between its social, environmental and financial responsibilities</t>
  </si>
  <si>
    <t>(H2) 93%</t>
  </si>
  <si>
    <t>- Whether Stockland management supports equal opportunity for all employees
- Whether Stockland is accepting of varied cultural backgrounds or lifestyles
- Degree to which gender-based and sex-based harassment/bullying and discrimination is not tolerated
- Degree to which age-based, disability-based and race-based harassment/bullying and discrimination is not tolerated</t>
  </si>
  <si>
    <t>3 points above Australian Norm</t>
  </si>
  <si>
    <t>5 points above Australian National Norm</t>
  </si>
  <si>
    <t>Health and safety</t>
  </si>
  <si>
    <t>(H1) 89%</t>
  </si>
  <si>
    <t>- Employee work areas are safe places to work
- Provision of adequate OH&amp;S systems, resources, and training
- Is prompt and effective action taken when unsafe conditions are raised with management</t>
  </si>
  <si>
    <t>7 points above Australian Norm</t>
  </si>
  <si>
    <t>4 points above Australian Norm</t>
  </si>
  <si>
    <t>Wellbeing</t>
  </si>
  <si>
    <t>(H1) 74%</t>
  </si>
  <si>
    <t>- Resources available to help manage workload and priorities (managerial support, number of employees)
- Current state of mental and physical wellbeing; whether stress levels are manageable
- Level of flexibility to meet personal/family needs; managerial support for work-life balance</t>
  </si>
  <si>
    <t>1 point below Australian Norm</t>
  </si>
  <si>
    <t>Psychological Safety</t>
  </si>
  <si>
    <t>(H1) 84%</t>
  </si>
  <si>
    <t>- Ability to speak up / report unsafe conditions without fear of negative consequences
- Degree of anxiety / stress levels at work
- Fair evaluation of performance; recognition of good work
- Level of team morale</t>
  </si>
  <si>
    <t>2 points above Australian Norm</t>
  </si>
  <si>
    <t>Overall leadership score</t>
  </si>
  <si>
    <t>- Ability of leadership to manage change, communicate expectations about strategy execution, and provide employees with a clear sense of direction
- Whether leadership decisions are consistent with Stockland's values
- Whether the organisational structure of Stockland provides clear accountabilities</t>
  </si>
  <si>
    <t>11 points above Australian Norm</t>
  </si>
  <si>
    <t>1. The Our Voice Employee Engagement Survey switched from an annual process to a pulse survey approach in FY22.</t>
  </si>
  <si>
    <t>Absenteeism</t>
  </si>
  <si>
    <r>
      <t>Absenteeism</t>
    </r>
    <r>
      <rPr>
        <b/>
        <vertAlign val="superscript"/>
        <sz val="8"/>
        <color theme="0"/>
        <rFont val="Arial"/>
        <family val="2"/>
      </rPr>
      <t>1</t>
    </r>
  </si>
  <si>
    <r>
      <t>Absent Days per FTE</t>
    </r>
    <r>
      <rPr>
        <vertAlign val="superscript"/>
        <sz val="8"/>
        <color rgb="FF000000"/>
        <rFont val="Arial"/>
        <family val="2"/>
      </rPr>
      <t>1</t>
    </r>
  </si>
  <si>
    <t>1. Absenteeism reflects the amount of personal/carer’s leave taken in the last 12 months. It is calculated by dividing [Total Days Of Personal/Carer’s Leave In The Last 12 Months] by [12-Month Average FTE]. Absenteeism includes permanent, extended leave and fixed term employees only.</t>
  </si>
  <si>
    <r>
      <t>New hires by age group</t>
    </r>
    <r>
      <rPr>
        <b/>
        <vertAlign val="superscript"/>
        <sz val="12"/>
        <color rgb="FF31869B"/>
        <rFont val="Arial"/>
        <family val="2"/>
      </rPr>
      <t>1</t>
    </r>
  </si>
  <si>
    <t>FY23 New Hires (Age Group)</t>
  </si>
  <si>
    <t>&gt;65</t>
  </si>
  <si>
    <t>Number</t>
  </si>
  <si>
    <t>Per cent</t>
  </si>
  <si>
    <t>1. New hires reflect all employees hired after 30/06/2022 that are still active in the business at the end of FY23</t>
  </si>
  <si>
    <t>New hires by gender</t>
  </si>
  <si>
    <r>
      <t>FY23 New Hires (Gender)</t>
    </r>
    <r>
      <rPr>
        <b/>
        <vertAlign val="superscript"/>
        <sz val="8"/>
        <color theme="0"/>
        <rFont val="Arial"/>
        <family val="2"/>
      </rPr>
      <t>1</t>
    </r>
  </si>
  <si>
    <t>MALE</t>
  </si>
  <si>
    <t>FEMALE</t>
  </si>
  <si>
    <t>Turnover*</t>
  </si>
  <si>
    <t>Turnover</t>
  </si>
  <si>
    <r>
      <t>FY19</t>
    </r>
    <r>
      <rPr>
        <b/>
        <vertAlign val="superscript"/>
        <sz val="8"/>
        <color theme="0"/>
        <rFont val="Arial"/>
        <family val="2"/>
      </rPr>
      <t>1</t>
    </r>
  </si>
  <si>
    <r>
      <rPr>
        <sz val="8"/>
        <color rgb="FF000000"/>
        <rFont val="Arial"/>
        <family val="2"/>
      </rPr>
      <t>Employee initiated turnover</t>
    </r>
    <r>
      <rPr>
        <vertAlign val="superscript"/>
        <sz val="8"/>
        <color rgb="FF000000"/>
        <rFont val="Arial"/>
        <family val="2"/>
      </rPr>
      <t>2</t>
    </r>
  </si>
  <si>
    <t>(247)</t>
  </si>
  <si>
    <t>(334)</t>
  </si>
  <si>
    <r>
      <rPr>
        <sz val="8"/>
        <color rgb="FF000000"/>
        <rFont val="Arial"/>
        <family val="2"/>
      </rPr>
      <t>Employee initiated turnover for employees with Strong performance or above</t>
    </r>
    <r>
      <rPr>
        <vertAlign val="superscript"/>
        <sz val="8"/>
        <color rgb="FF000000"/>
        <rFont val="Arial"/>
        <family val="2"/>
      </rPr>
      <t>3</t>
    </r>
  </si>
  <si>
    <t>(117)</t>
  </si>
  <si>
    <t>(18)</t>
  </si>
  <si>
    <r>
      <rPr>
        <sz val="8"/>
        <color rgb="FF000000"/>
        <rFont val="Arial"/>
        <family val="2"/>
      </rPr>
      <t>Stockland initiated turnover</t>
    </r>
    <r>
      <rPr>
        <vertAlign val="superscript"/>
        <sz val="8"/>
        <color rgb="FF000000"/>
        <rFont val="Arial"/>
        <family val="2"/>
      </rPr>
      <t>4</t>
    </r>
  </si>
  <si>
    <t>(63)</t>
  </si>
  <si>
    <t>(64)</t>
  </si>
  <si>
    <t>(310)</t>
  </si>
  <si>
    <t>(398)</t>
  </si>
  <si>
    <t>* Turnover presents the proportion of the Stockland workforce that has exited in the last 12 months. It is calculated by dividing [Total Number Of Exits In The Last 12 Months] by [12-Month Average Headcount]. All turnover data (including headcount) excludes those employed on a casual or fixed term basis. The first number represents this turnover. Stockland reports on the number of exits (the second number in parentheses).</t>
  </si>
  <si>
    <t>1. In FY20 the methodology and data exports for calculating turnover was changed. The FY19 data has been updated using the new methodology and data sets.</t>
  </si>
  <si>
    <t>2. Employee-initiated turnover includes resignations and retirements.</t>
  </si>
  <si>
    <t>3. Stockland uses a four-point rating scale for performance. This metric assesses turnover for the two highest performance ratings. Employee-initiated turnover employees with Strong Performance or Above is calculated by dividing [Total Number Of Exits In The Last 12 Months With A Strong Performance Or Above Rating] by [Employees With A Strong Performance Or Above Rating].</t>
  </si>
  <si>
    <t xml:space="preserve">4. Stockland initiated turnover includes redundancy or termination by Stockland (e.g. terminated during probation or for cause). </t>
  </si>
  <si>
    <r>
      <t>Turnover by tenure group</t>
    </r>
    <r>
      <rPr>
        <b/>
        <vertAlign val="superscript"/>
        <sz val="12"/>
        <color rgb="FF31869B"/>
        <rFont val="Arial"/>
        <family val="2"/>
      </rPr>
      <t>2</t>
    </r>
  </si>
  <si>
    <t>Tenure group</t>
  </si>
  <si>
    <r>
      <t>FY19</t>
    </r>
    <r>
      <rPr>
        <b/>
        <vertAlign val="superscript"/>
        <sz val="8"/>
        <color theme="0"/>
        <rFont val="Arial"/>
        <family val="2"/>
      </rPr>
      <t>1</t>
    </r>
    <r>
      <rPr>
        <sz val="8"/>
        <color theme="0"/>
        <rFont val="Arial"/>
        <family val="2"/>
      </rPr>
      <t> </t>
    </r>
  </si>
  <si>
    <t>&lt;1 Year</t>
  </si>
  <si>
    <t>1 - &lt;3 Years</t>
  </si>
  <si>
    <t>3 - &lt;5 Years</t>
  </si>
  <si>
    <t>5 - &lt;10 Years</t>
  </si>
  <si>
    <t>&gt;10 Years</t>
  </si>
  <si>
    <t>* Turnover (%) by tenure group is calculated by dividing [Total Number Of Exits In The Last 12 Months Of Particular Tenure Group] by [12-Month Average Headcount Of Particular Tenure Group].</t>
  </si>
  <si>
    <t>2. All turnover data (including headcount) excludes those employed on a casual or fixed term basis</t>
  </si>
  <si>
    <r>
      <t>Turnover by age group</t>
    </r>
    <r>
      <rPr>
        <b/>
        <vertAlign val="superscript"/>
        <sz val="12"/>
        <color rgb="FF31869B"/>
        <rFont val="Arial"/>
        <family val="2"/>
      </rPr>
      <t>2</t>
    </r>
  </si>
  <si>
    <t>Age group</t>
  </si>
  <si>
    <t>* Turnover(%) by age group is calculated by dividing [Total Number Of Exits In The Last 12 Months Of Selected Age Group] by [12-Month Average Headcount Of Particular Age Group].</t>
  </si>
  <si>
    <r>
      <t>Turnover by gender</t>
    </r>
    <r>
      <rPr>
        <b/>
        <vertAlign val="superscript"/>
        <sz val="12"/>
        <color rgb="FF31869B"/>
        <rFont val="Arial"/>
        <family val="2"/>
      </rPr>
      <t>1</t>
    </r>
  </si>
  <si>
    <t>Gender</t>
  </si>
  <si>
    <r>
      <t>FY23</t>
    </r>
    <r>
      <rPr>
        <b/>
        <vertAlign val="superscript"/>
        <sz val="8"/>
        <color theme="0"/>
        <rFont val="Arial"/>
        <family val="2"/>
      </rPr>
      <t>2</t>
    </r>
  </si>
  <si>
    <r>
      <t>FY19</t>
    </r>
    <r>
      <rPr>
        <b/>
        <vertAlign val="superscript"/>
        <sz val="8"/>
        <color theme="0"/>
        <rFont val="Arial"/>
        <family val="2"/>
      </rPr>
      <t>3</t>
    </r>
  </si>
  <si>
    <t>Employee initiated turnover</t>
  </si>
  <si>
    <t>Employee initiated turnover for employees with Strong performance or above</t>
  </si>
  <si>
    <t>Stockland initiated turnover</t>
  </si>
  <si>
    <t>Stockland Initiated turnover</t>
  </si>
  <si>
    <t>* Turnover (%) by gender is calculated by dividing [Total Number Of Exits In The Last 12 Months Of Particular Gender] by [12-Month Average Headcount Of Particular Gender].</t>
  </si>
  <si>
    <t>1. All turnover data (including headcount) excludes those employed on a casual or fixed term basis.</t>
  </si>
  <si>
    <t>2. One employee did not identify as male or female. Performance ratings are from FY22.</t>
  </si>
  <si>
    <t>3. In FY20 the methodology and data exports for calculating turnover was changed. The FY19 data has been updated using the new methodology and data sets.</t>
  </si>
  <si>
    <r>
      <t>Parental leave return rate within 12 months</t>
    </r>
    <r>
      <rPr>
        <b/>
        <vertAlign val="superscript"/>
        <sz val="12"/>
        <color rgb="FF31869B"/>
        <rFont val="Arial"/>
        <family val="2"/>
      </rPr>
      <t>1</t>
    </r>
  </si>
  <si>
    <t>Total Leave</t>
  </si>
  <si>
    <t>Returns</t>
  </si>
  <si>
    <t>Overall</t>
  </si>
  <si>
    <t xml:space="preserve">1. Parental leave return rates look at the return rates of employees who have returned from parental leave and either remain employed (returns) or exited either within 6 months or 12 months of return up to the end of FY23. </t>
  </si>
  <si>
    <t>*Includes Permanent and fixed term employees</t>
  </si>
  <si>
    <t>HEALTH AND SAFETY</t>
  </si>
  <si>
    <r>
      <t>Total average workforce</t>
    </r>
    <r>
      <rPr>
        <vertAlign val="superscript"/>
        <sz val="8"/>
        <color theme="1"/>
        <rFont val="Arial"/>
        <family val="2"/>
      </rPr>
      <t>1</t>
    </r>
  </si>
  <si>
    <t>Total hours worked (million)</t>
  </si>
  <si>
    <r>
      <t>Number of lost time injuries (LTI)</t>
    </r>
    <r>
      <rPr>
        <vertAlign val="superscript"/>
        <sz val="8"/>
        <color rgb="FF000000"/>
        <rFont val="Arial"/>
        <family val="2"/>
      </rPr>
      <t xml:space="preserve"> 2,3</t>
    </r>
  </si>
  <si>
    <r>
      <t xml:space="preserve">11 </t>
    </r>
    <r>
      <rPr>
        <vertAlign val="superscript"/>
        <sz val="8"/>
        <color rgb="FF000000"/>
        <rFont val="Arial"/>
        <family val="2"/>
      </rPr>
      <t>13</t>
    </r>
  </si>
  <si>
    <r>
      <t>12</t>
    </r>
    <r>
      <rPr>
        <vertAlign val="superscript"/>
        <sz val="8"/>
        <color rgb="FF000000"/>
        <rFont val="Arial"/>
        <family val="2"/>
      </rPr>
      <t xml:space="preserve"> 4</t>
    </r>
  </si>
  <si>
    <r>
      <t>Lost time injury frequency rate (LTIFR)</t>
    </r>
    <r>
      <rPr>
        <vertAlign val="superscript"/>
        <sz val="8"/>
        <color rgb="FF000000"/>
        <rFont val="Arial"/>
        <family val="2"/>
      </rPr>
      <t>5</t>
    </r>
  </si>
  <si>
    <r>
      <t>1.6</t>
    </r>
    <r>
      <rPr>
        <vertAlign val="superscript"/>
        <sz val="8"/>
        <color theme="1"/>
        <rFont val="Arial"/>
        <family val="2"/>
      </rPr>
      <t xml:space="preserve"> 14</t>
    </r>
  </si>
  <si>
    <r>
      <t xml:space="preserve">3.7 </t>
    </r>
    <r>
      <rPr>
        <vertAlign val="superscript"/>
        <sz val="8"/>
        <color theme="1"/>
        <rFont val="Arial"/>
        <family val="2"/>
      </rPr>
      <t>13</t>
    </r>
  </si>
  <si>
    <r>
      <t>Number of injuries requiring medical treatment (MTI)</t>
    </r>
    <r>
      <rPr>
        <vertAlign val="superscript"/>
        <sz val="8"/>
        <color theme="1"/>
        <rFont val="Arial"/>
        <family val="2"/>
      </rPr>
      <t>6</t>
    </r>
  </si>
  <si>
    <r>
      <t>Medical treatment injury frequency rate (MTIFR)</t>
    </r>
    <r>
      <rPr>
        <vertAlign val="superscript"/>
        <sz val="8"/>
        <color theme="1"/>
        <rFont val="Arial"/>
        <family val="2"/>
      </rPr>
      <t>7</t>
    </r>
  </si>
  <si>
    <r>
      <t>3.6</t>
    </r>
    <r>
      <rPr>
        <vertAlign val="superscript"/>
        <sz val="8"/>
        <color theme="1"/>
        <rFont val="Arial"/>
        <family val="2"/>
      </rPr>
      <t xml:space="preserve"> 14</t>
    </r>
  </si>
  <si>
    <r>
      <t>Frequency rate (LTI and MTI)</t>
    </r>
    <r>
      <rPr>
        <vertAlign val="superscript"/>
        <sz val="8"/>
        <color theme="1"/>
        <rFont val="Arial"/>
        <family val="2"/>
      </rPr>
      <t>8</t>
    </r>
  </si>
  <si>
    <r>
      <t>5.2</t>
    </r>
    <r>
      <rPr>
        <vertAlign val="superscript"/>
        <sz val="8"/>
        <color theme="1"/>
        <rFont val="Arial"/>
        <family val="2"/>
      </rPr>
      <t xml:space="preserve"> 14</t>
    </r>
  </si>
  <si>
    <t>Occupational diseases instances</t>
  </si>
  <si>
    <t>Fatalities</t>
  </si>
  <si>
    <r>
      <t>Lost days</t>
    </r>
    <r>
      <rPr>
        <vertAlign val="superscript"/>
        <sz val="8"/>
        <color theme="1"/>
        <rFont val="Arial"/>
        <family val="2"/>
      </rPr>
      <t>9</t>
    </r>
  </si>
  <si>
    <r>
      <t>252</t>
    </r>
    <r>
      <rPr>
        <vertAlign val="superscript"/>
        <sz val="8"/>
        <color theme="1"/>
        <rFont val="Arial"/>
        <family val="2"/>
      </rPr>
      <t xml:space="preserve"> 14</t>
    </r>
  </si>
  <si>
    <r>
      <t xml:space="preserve">297 </t>
    </r>
    <r>
      <rPr>
        <vertAlign val="superscript"/>
        <sz val="8"/>
        <color theme="1"/>
        <rFont val="Arial"/>
        <family val="2"/>
      </rPr>
      <t>13</t>
    </r>
  </si>
  <si>
    <r>
      <t xml:space="preserve">157 </t>
    </r>
    <r>
      <rPr>
        <vertAlign val="superscript"/>
        <sz val="8"/>
        <color rgb="FF000000"/>
        <rFont val="Arial"/>
        <family val="2"/>
      </rPr>
      <t>10</t>
    </r>
  </si>
  <si>
    <r>
      <t xml:space="preserve">Average lost day rate </t>
    </r>
    <r>
      <rPr>
        <vertAlign val="superscript"/>
        <sz val="8"/>
        <color theme="1"/>
        <rFont val="Arial"/>
        <family val="2"/>
      </rPr>
      <t>11</t>
    </r>
  </si>
  <si>
    <r>
      <t xml:space="preserve">19.4 </t>
    </r>
    <r>
      <rPr>
        <vertAlign val="superscript"/>
        <sz val="8"/>
        <color theme="1"/>
        <rFont val="Arial"/>
        <family val="2"/>
      </rPr>
      <t>13</t>
    </r>
  </si>
  <si>
    <r>
      <t xml:space="preserve">Development contractor LTIFR </t>
    </r>
    <r>
      <rPr>
        <vertAlign val="superscript"/>
        <sz val="8"/>
        <color theme="1"/>
        <rFont val="Arial"/>
        <family val="2"/>
      </rPr>
      <t>12</t>
    </r>
  </si>
  <si>
    <r>
      <t>6.2</t>
    </r>
    <r>
      <rPr>
        <vertAlign val="superscript"/>
        <sz val="8"/>
        <color theme="1"/>
        <rFont val="Arial"/>
        <family val="2"/>
      </rPr>
      <t xml:space="preserve"> 14</t>
    </r>
  </si>
  <si>
    <t>Development contractor fatalities</t>
  </si>
  <si>
    <t>1. Total average workforce uses monthly employee totals rather than the end of financial year figure used in other People metrics.</t>
  </si>
  <si>
    <t>2. Includes injuries incurred as a result of a work related incident. Does not include commuting/recess injuries.</t>
  </si>
  <si>
    <t>3. An injury resulting in the loss of one or more shifts. Not including injuries requiring first aid treatment only.</t>
  </si>
  <si>
    <t>4. FY19 figure adjusted from 10 to 12.</t>
  </si>
  <si>
    <t>5. Number of LTIs / total hours worked in the Financial Year x 1,000,000.</t>
  </si>
  <si>
    <t xml:space="preserve">6. An injury resulting in the injured person receiving further treatment from a medical practitioner i.e. GP, physio, hospitalisation etc. Not including lost time injuries. </t>
  </si>
  <si>
    <t>7. Number of MTIs / total hours worked in the Financial Year x 1,000,000.</t>
  </si>
  <si>
    <t>8. Number of LTIs + MTIs / total hours worked in the Financial Year x 1,000,000.</t>
  </si>
  <si>
    <t>9. Lost days recorded in the year irrespective of the year the injury occurred.</t>
  </si>
  <si>
    <t>10. Adjusted to include lost days attributed to a longstanding injury from a previous financial year.</t>
  </si>
  <si>
    <t>11. Number of Lost Days / number of respective LTIs reported in the Financial Year. Does not include lost days accruing from LTIs of previous years. For calulation and reporting purposes, lost days are capped at 12 months, in line with Australian Standard - Workplace injury and disease recording (AS 1885.1).</t>
  </si>
  <si>
    <t>12. Development is defined as greenfield/brownfield construction of new buildings and substantial structural works in existing buildings. Mainly where we have engaged a head/main contractor to manage the project and other contractors/sub-contractors. Stockland relies on information provided by contractors on development sites in order to report Development Contractor LTIFR performance.</t>
  </si>
  <si>
    <t>13. FY21 figures adjusted to include a psychological injury accepted as compensable in FY22, but related to circumstances beginning FY21.</t>
  </si>
  <si>
    <t>14. FY23 data includes Retirement Living data up to its divestment at 29 July 2023</t>
  </si>
  <si>
    <t>Breakdown by region and gender</t>
  </si>
  <si>
    <r>
      <t>FY23</t>
    </r>
    <r>
      <rPr>
        <b/>
        <vertAlign val="superscript"/>
        <sz val="8"/>
        <color theme="0"/>
        <rFont val="Arial"/>
        <family val="2"/>
      </rPr>
      <t xml:space="preserve"> 10</t>
    </r>
  </si>
  <si>
    <t>FY17</t>
  </si>
  <si>
    <t>FY16</t>
  </si>
  <si>
    <t>FY15</t>
  </si>
  <si>
    <t>Region</t>
  </si>
  <si>
    <t>LTIs</t>
  </si>
  <si>
    <t>Lost Days</t>
  </si>
  <si>
    <t>Lost days</t>
  </si>
  <si>
    <r>
      <t>Lost days</t>
    </r>
    <r>
      <rPr>
        <b/>
        <vertAlign val="superscript"/>
        <sz val="8"/>
        <color rgb="FF000000"/>
        <rFont val="Arial"/>
        <family val="2"/>
      </rPr>
      <t>1</t>
    </r>
  </si>
  <si>
    <r>
      <t>Lost days</t>
    </r>
    <r>
      <rPr>
        <b/>
        <vertAlign val="superscript"/>
        <sz val="8"/>
        <color rgb="FF000000"/>
        <rFont val="Arial"/>
        <family val="2"/>
      </rPr>
      <t>3</t>
    </r>
  </si>
  <si>
    <r>
      <t>Lost days</t>
    </r>
    <r>
      <rPr>
        <b/>
        <vertAlign val="superscript"/>
        <sz val="8"/>
        <color rgb="FF000000"/>
        <rFont val="Arial"/>
        <family val="2"/>
      </rPr>
      <t>4</t>
    </r>
  </si>
  <si>
    <r>
      <t>Lost days</t>
    </r>
    <r>
      <rPr>
        <b/>
        <vertAlign val="superscript"/>
        <sz val="8"/>
        <color rgb="FF000000"/>
        <rFont val="Arial"/>
        <family val="2"/>
      </rPr>
      <t>5</t>
    </r>
  </si>
  <si>
    <r>
      <t>Lost days</t>
    </r>
    <r>
      <rPr>
        <b/>
        <vertAlign val="superscript"/>
        <sz val="8"/>
        <color rgb="FF000000"/>
        <rFont val="Arial"/>
        <family val="2"/>
      </rPr>
      <t>6</t>
    </r>
  </si>
  <si>
    <r>
      <t>Lost days</t>
    </r>
    <r>
      <rPr>
        <b/>
        <vertAlign val="superscript"/>
        <sz val="8"/>
        <color rgb="FF000000"/>
        <rFont val="Arial"/>
        <family val="2"/>
      </rPr>
      <t>7</t>
    </r>
  </si>
  <si>
    <t>ACT</t>
  </si>
  <si>
    <r>
      <t xml:space="preserve">3 </t>
    </r>
    <r>
      <rPr>
        <vertAlign val="superscript"/>
        <sz val="8"/>
        <color rgb="FF000000"/>
        <rFont val="Arial"/>
        <family val="2"/>
      </rPr>
      <t>2</t>
    </r>
  </si>
  <si>
    <r>
      <t>4</t>
    </r>
    <r>
      <rPr>
        <vertAlign val="superscript"/>
        <sz val="8"/>
        <rFont val="Arial"/>
        <family val="2"/>
      </rPr>
      <t xml:space="preserve"> 9</t>
    </r>
  </si>
  <si>
    <r>
      <t>115</t>
    </r>
    <r>
      <rPr>
        <vertAlign val="superscript"/>
        <sz val="8"/>
        <rFont val="Arial"/>
        <family val="2"/>
      </rPr>
      <t xml:space="preserve"> 9</t>
    </r>
  </si>
  <si>
    <r>
      <t xml:space="preserve">8 </t>
    </r>
    <r>
      <rPr>
        <vertAlign val="superscript"/>
        <sz val="8"/>
        <color rgb="FF000000"/>
        <rFont val="Arial"/>
        <family val="2"/>
      </rPr>
      <t>2</t>
    </r>
  </si>
  <si>
    <r>
      <t>9</t>
    </r>
    <r>
      <rPr>
        <vertAlign val="superscript"/>
        <sz val="8"/>
        <rFont val="Arial"/>
        <family val="2"/>
      </rPr>
      <t xml:space="preserve"> 9</t>
    </r>
  </si>
  <si>
    <r>
      <t>143</t>
    </r>
    <r>
      <rPr>
        <vertAlign val="superscript"/>
        <sz val="8"/>
        <rFont val="Arial"/>
        <family val="2"/>
      </rPr>
      <t xml:space="preserve"> 9</t>
    </r>
  </si>
  <si>
    <t>1. FY22 metrics include 285 lost days related to two lost time injuries reported in prior years but continued to lose time in FY22.</t>
  </si>
  <si>
    <t>2. FY21 metrics include 84 lost days related to four lost time injuries reported in prior years but continued to lose time in FY21.</t>
  </si>
  <si>
    <t>3. Related to (2) above, lost time injuries occurring in previous Financial Years were the sole source of lost days in ACT and WA in FY21.</t>
  </si>
  <si>
    <t>4. FY19 metrics include 15 lost days related to one lost time injury (longstanding) reported in prior years but continued to lose time in FY19.</t>
  </si>
  <si>
    <t>5. FY18 metrics include 397 lost days related to two lost time injuries (longstanding) reported in prior years but continued to lose time in FY18.</t>
  </si>
  <si>
    <t>6. FY17 metrics include 516 lost days related to three lost time injuries (all longstanding) reported in prior years but continued to lose time in FY17.</t>
  </si>
  <si>
    <t>7. FY16 metrics include 301 lost days related to three lost time injuries (two of which are longstanding) reported in a prior year but continued to lose time in FY16.</t>
  </si>
  <si>
    <t>8. FY15 metrics include 105 lost days related to the re-aggravation of a lost time injury reported in a prior year but continued to lose time in FY15.</t>
  </si>
  <si>
    <t>9. FY21 figures adjusted to include a psychological injury accepted as compensable in FY22, but related to circumstances beginning FY21.</t>
  </si>
  <si>
    <t>10. FY23 data includes Retirement Living data up to its divestment at 29 July 2023</t>
  </si>
  <si>
    <r>
      <t>FY23</t>
    </r>
    <r>
      <rPr>
        <b/>
        <vertAlign val="superscript"/>
        <sz val="8"/>
        <color theme="0"/>
        <rFont val="Arial"/>
        <family val="2"/>
      </rPr>
      <t>14</t>
    </r>
  </si>
  <si>
    <r>
      <t>Number of lost time injuries (LTI)</t>
    </r>
    <r>
      <rPr>
        <vertAlign val="superscript"/>
        <sz val="8"/>
        <color rgb="FF000000"/>
        <rFont val="Arial"/>
        <family val="2"/>
      </rPr>
      <t>2,3</t>
    </r>
  </si>
  <si>
    <r>
      <t xml:space="preserve">12 </t>
    </r>
    <r>
      <rPr>
        <vertAlign val="superscript"/>
        <sz val="8"/>
        <color rgb="FF000000"/>
        <rFont val="Arial"/>
        <family val="2"/>
      </rPr>
      <t>4</t>
    </r>
  </si>
  <si>
    <r>
      <t>Lost time injury frequency rate (LTIFR)</t>
    </r>
    <r>
      <rPr>
        <vertAlign val="superscript"/>
        <sz val="8"/>
        <color theme="1"/>
        <rFont val="Arial"/>
        <family val="2"/>
      </rPr>
      <t>5</t>
    </r>
  </si>
  <si>
    <t>14. FY23 data includes Retirement Living data up to its divestment at 29 July 2022</t>
  </si>
  <si>
    <r>
      <t>FY23</t>
    </r>
    <r>
      <rPr>
        <b/>
        <vertAlign val="superscript"/>
        <sz val="8"/>
        <color theme="0"/>
        <rFont val="Arial"/>
        <family val="2"/>
      </rPr>
      <t>1</t>
    </r>
  </si>
  <si>
    <r>
      <t>Lost Days</t>
    </r>
    <r>
      <rPr>
        <b/>
        <vertAlign val="superscript"/>
        <sz val="8"/>
        <color rgb="FF000000"/>
        <rFont val="Arial"/>
        <family val="2"/>
      </rPr>
      <t>2</t>
    </r>
  </si>
  <si>
    <r>
      <t xml:space="preserve">3 </t>
    </r>
    <r>
      <rPr>
        <vertAlign val="superscript"/>
        <sz val="8"/>
        <color rgb="FF000000"/>
        <rFont val="Arial"/>
        <family val="2"/>
      </rPr>
      <t>6</t>
    </r>
  </si>
  <si>
    <r>
      <t>4</t>
    </r>
    <r>
      <rPr>
        <vertAlign val="superscript"/>
        <sz val="8"/>
        <rFont val="Arial"/>
        <family val="2"/>
      </rPr>
      <t xml:space="preserve"> 4</t>
    </r>
  </si>
  <si>
    <r>
      <t>115</t>
    </r>
    <r>
      <rPr>
        <vertAlign val="superscript"/>
        <sz val="8"/>
        <rFont val="Arial"/>
        <family val="2"/>
      </rPr>
      <t xml:space="preserve"> 4</t>
    </r>
  </si>
  <si>
    <r>
      <t xml:space="preserve">8 </t>
    </r>
    <r>
      <rPr>
        <vertAlign val="superscript"/>
        <sz val="8"/>
        <color rgb="FF000000"/>
        <rFont val="Arial"/>
        <family val="2"/>
      </rPr>
      <t>6</t>
    </r>
  </si>
  <si>
    <r>
      <t>Lost days</t>
    </r>
    <r>
      <rPr>
        <b/>
        <vertAlign val="superscript"/>
        <sz val="8"/>
        <color rgb="FF000000"/>
        <rFont val="Arial"/>
        <family val="2"/>
      </rPr>
      <t>2</t>
    </r>
  </si>
  <si>
    <r>
      <t>9</t>
    </r>
    <r>
      <rPr>
        <vertAlign val="superscript"/>
        <sz val="8"/>
        <rFont val="Arial"/>
        <family val="2"/>
      </rPr>
      <t xml:space="preserve"> 4</t>
    </r>
  </si>
  <si>
    <r>
      <t>143</t>
    </r>
    <r>
      <rPr>
        <vertAlign val="superscript"/>
        <sz val="8"/>
        <rFont val="Arial"/>
        <family val="2"/>
      </rPr>
      <t xml:space="preserve"> 4</t>
    </r>
  </si>
  <si>
    <t>1. FY23 data includes Retirement Living data up to its divestment at 29 July 2023</t>
  </si>
  <si>
    <t>2. FY23 metrics include 1 lost day related to a lost time injury reported in prior years but continued to lose time in FY23</t>
  </si>
  <si>
    <t>3. FY22 metrics include 285 lost days related to two lost time injuries reported in prior years but continued to lose time in FY22.</t>
  </si>
  <si>
    <t>4. FY21 figures adjusted to include a psychological injury accepted as compensable in FY22, but related to circumstances beginning FY21.</t>
  </si>
  <si>
    <t>5. FY21 metrics include 84 lost days related to four lost time injuries reported in prior years but continued to lose time in FY21.</t>
  </si>
  <si>
    <t>6. Related to footnote (5), lost time injuries occurring in previous Financial Years were the sole source of lost days in ACT and WA in FY21.</t>
  </si>
  <si>
    <t>7. FY19 metrics include 15 lost days related to one lost time injury (longstanding) reported in prior years but continued to lose time in FY19.</t>
  </si>
  <si>
    <t>DIVERSITY AND INCLUSION</t>
  </si>
  <si>
    <t>Women in management</t>
  </si>
  <si>
    <r>
      <t>FY23</t>
    </r>
    <r>
      <rPr>
        <b/>
        <vertAlign val="superscript"/>
        <sz val="8"/>
        <color theme="0"/>
        <rFont val="Arial"/>
        <family val="2"/>
      </rPr>
      <t>4</t>
    </r>
  </si>
  <si>
    <r>
      <t>FY22</t>
    </r>
    <r>
      <rPr>
        <b/>
        <vertAlign val="superscript"/>
        <sz val="8"/>
        <color theme="0"/>
        <rFont val="Arial"/>
        <family val="2"/>
      </rPr>
      <t>5</t>
    </r>
  </si>
  <si>
    <r>
      <t>FY19</t>
    </r>
    <r>
      <rPr>
        <sz val="8"/>
        <color theme="0"/>
        <rFont val="Arial"/>
        <family val="2"/>
      </rPr>
      <t> </t>
    </r>
  </si>
  <si>
    <r>
      <t>Job band</t>
    </r>
    <r>
      <rPr>
        <b/>
        <vertAlign val="superscript"/>
        <sz val="8"/>
        <color rgb="FF000000"/>
        <rFont val="Arial"/>
        <family val="2"/>
      </rPr>
      <t>1</t>
    </r>
  </si>
  <si>
    <t>TOTAL</t>
  </si>
  <si>
    <t>% WOMEN</t>
  </si>
  <si>
    <r>
      <t>Management</t>
    </r>
    <r>
      <rPr>
        <vertAlign val="superscript"/>
        <sz val="8"/>
        <color rgb="FF000000"/>
        <rFont val="Arial"/>
        <family val="2"/>
      </rPr>
      <t>2</t>
    </r>
  </si>
  <si>
    <t>Stockland Leadership Team</t>
  </si>
  <si>
    <r>
      <t>Senior Management</t>
    </r>
    <r>
      <rPr>
        <vertAlign val="superscript"/>
        <sz val="8"/>
        <color theme="1"/>
        <rFont val="Arial"/>
        <family val="2"/>
      </rPr>
      <t>3</t>
    </r>
  </si>
  <si>
    <t>Manager</t>
  </si>
  <si>
    <t>Employee</t>
  </si>
  <si>
    <t>Stockland</t>
  </si>
  <si>
    <t>1. Workforce by gender includes permanent employees, fixed term employees, and employees on extended leave. It excludes casual employees, Board members, special contractors, temps and vendors.</t>
  </si>
  <si>
    <t>2. Includes Stockland Leadership Team (SLT), Executive General Manager, General Manager, Senior Manager and Manager job bands.</t>
  </si>
  <si>
    <t xml:space="preserve">3. Includes Executive General Manager, General Manager and Senior Manager job bands. </t>
  </si>
  <si>
    <t>4. There was one Senior Manager and one employee in FY23 who did not identify as a male or a female.</t>
  </si>
  <si>
    <t>5. There was one Senior Manager in FY22 who did not identify as a male or a female.</t>
  </si>
  <si>
    <r>
      <t>Women in management by business</t>
    </r>
    <r>
      <rPr>
        <b/>
        <vertAlign val="superscript"/>
        <sz val="12"/>
        <color rgb="FF0080A6"/>
        <rFont val="Arial"/>
        <family val="2"/>
      </rPr>
      <t>1</t>
    </r>
  </si>
  <si>
    <r>
      <t>Business</t>
    </r>
    <r>
      <rPr>
        <b/>
        <vertAlign val="superscript"/>
        <sz val="8"/>
        <color theme="0"/>
        <rFont val="Arial"/>
        <family val="2"/>
      </rPr>
      <t>1</t>
    </r>
  </si>
  <si>
    <r>
      <t>FY22</t>
    </r>
    <r>
      <rPr>
        <b/>
        <vertAlign val="superscript"/>
        <sz val="8"/>
        <color theme="0"/>
        <rFont val="Arial"/>
        <family val="2"/>
      </rPr>
      <t>2</t>
    </r>
  </si>
  <si>
    <t>Commercial Property</t>
  </si>
  <si>
    <t>Corporate</t>
  </si>
  <si>
    <t>Residential</t>
  </si>
  <si>
    <t>n/a</t>
  </si>
  <si>
    <t>Retirement Living</t>
  </si>
  <si>
    <t>Stockland Communities</t>
  </si>
  <si>
    <t>1. Includes Stockland Leadership Team, General Manager, Senior Manager and Manager job bands. Includes permanent employees, fixed term employees, and employees on extended leave. It excludes casuals, Board members, special contractors, temps and vendors.</t>
  </si>
  <si>
    <t>2. There was one Senior Manager in FY22 who did not identify as a male or a female.</t>
  </si>
  <si>
    <r>
      <t>Average fixed remuneration ratio by job band</t>
    </r>
    <r>
      <rPr>
        <b/>
        <vertAlign val="superscript"/>
        <sz val="12"/>
        <color rgb="FF0080A6"/>
        <rFont val="Arial"/>
        <family val="2"/>
      </rPr>
      <t>4</t>
    </r>
  </si>
  <si>
    <r>
      <t>Job band</t>
    </r>
    <r>
      <rPr>
        <b/>
        <vertAlign val="superscript"/>
        <sz val="8"/>
        <color theme="0"/>
        <rFont val="Arial"/>
        <family val="2"/>
      </rPr>
      <t>1</t>
    </r>
  </si>
  <si>
    <t>Executive</t>
  </si>
  <si>
    <r>
      <t>Senior Management</t>
    </r>
    <r>
      <rPr>
        <vertAlign val="superscript"/>
        <sz val="8"/>
        <color rgb="FF000000"/>
        <rFont val="Arial"/>
        <family val="2"/>
      </rPr>
      <t>2</t>
    </r>
  </si>
  <si>
    <r>
      <t>Management</t>
    </r>
    <r>
      <rPr>
        <vertAlign val="superscript"/>
        <sz val="8"/>
        <color rgb="FF000000"/>
        <rFont val="Arial"/>
        <family val="2"/>
      </rPr>
      <t>3</t>
    </r>
  </si>
  <si>
    <t>Employee/Professional Technical</t>
  </si>
  <si>
    <r>
      <t>Stockland</t>
    </r>
    <r>
      <rPr>
        <vertAlign val="superscript"/>
        <sz val="8"/>
        <color rgb="FF000000"/>
        <rFont val="Arial"/>
        <family val="2"/>
      </rPr>
      <t>4</t>
    </r>
  </si>
  <si>
    <t>1. Average fixed remuneration ratio looks at the ratio of the average female fixed pay to the average male fixed pay by job band. Casual employees are not included in the calculation.</t>
  </si>
  <si>
    <t>2. In FY23, Senior Management includes Executive General Manager, Senior Manager and General Manager job bands. The Executive General Manager job band was newly introduced after FY22.</t>
  </si>
  <si>
    <t>3. Management only includes the Manager job band.</t>
  </si>
  <si>
    <t>4. The ratio is a function of full time equivalent total pay and employee number by gender.</t>
  </si>
  <si>
    <t>Gender pay equity ratio</t>
  </si>
  <si>
    <t>The methodology of measuring pay equity is limited if based solely on average fixed pay by job band as it ignores different market values placed on different jobs. A better and more accurate process is to assess gender pay equity by considering an individual’s positioning against the relevant market benchmark. This analysis is shown below in the gender pay equity ratio table.</t>
  </si>
  <si>
    <t>FY19 </t>
  </si>
  <si>
    <r>
      <t>Stockland</t>
    </r>
    <r>
      <rPr>
        <b/>
        <vertAlign val="superscript"/>
        <sz val="8"/>
        <color rgb="FF000000"/>
        <rFont val="Arial"/>
        <family val="2"/>
      </rPr>
      <t>1</t>
    </r>
  </si>
  <si>
    <t xml:space="preserve">1. The gender pay equity ratio is calculated by dividing the female compa-ratio by the male compa-ratio for employees. Compa-ratio represents the ratio of employees’ Fixed Pay to the median of the applicable benchmark. For example, if an employee’s Fixed Pay is $120,000 and the market mid-point is $100,000, the compa-ratio versus the median of the applicable benchmark is 120% ($120,000 / $100,000). An employee’s position against the applicable benchmark will vary based on relative experience and skills. If a female has a compa-ratio of 102% and a male has a compa-ratio of 104%, then the gender pay equity ratio would be 98%. A gender pay equity ratio that is less than 100% suggests that males are better positioned against market in comparison to females, whereas a gender pay equity ratio that is 100% or higher suggests that females are equally or better positioned against market in comparison to males. </t>
  </si>
  <si>
    <t>2. The ratio excludes Stockland Leadership Team.</t>
  </si>
  <si>
    <t>Workforce by cultural background</t>
  </si>
  <si>
    <r>
      <t>Culture</t>
    </r>
    <r>
      <rPr>
        <b/>
        <vertAlign val="superscript"/>
        <sz val="8"/>
        <color theme="0"/>
        <rFont val="Arial"/>
        <family val="2"/>
      </rPr>
      <t>1</t>
    </r>
  </si>
  <si>
    <r>
      <t>FY23</t>
    </r>
    <r>
      <rPr>
        <b/>
        <vertAlign val="superscript"/>
        <sz val="8"/>
        <color theme="0"/>
        <rFont val="Arial"/>
        <family val="2"/>
      </rPr>
      <t>12</t>
    </r>
  </si>
  <si>
    <r>
      <t>FY22</t>
    </r>
    <r>
      <rPr>
        <b/>
        <vertAlign val="superscript"/>
        <sz val="8"/>
        <color theme="0"/>
        <rFont val="Arial"/>
        <family val="2"/>
      </rPr>
      <t>11</t>
    </r>
  </si>
  <si>
    <r>
      <t>FY20</t>
    </r>
    <r>
      <rPr>
        <b/>
        <vertAlign val="superscript"/>
        <sz val="8"/>
        <color theme="0"/>
        <rFont val="Arial"/>
        <family val="2"/>
      </rPr>
      <t>2</t>
    </r>
  </si>
  <si>
    <r>
      <t>FY18</t>
    </r>
    <r>
      <rPr>
        <b/>
        <vertAlign val="superscript"/>
        <sz val="8"/>
        <color theme="0"/>
        <rFont val="Arial"/>
        <family val="2"/>
      </rPr>
      <t>4</t>
    </r>
  </si>
  <si>
    <r>
      <t>FY17</t>
    </r>
    <r>
      <rPr>
        <b/>
        <vertAlign val="superscript"/>
        <sz val="8"/>
        <color theme="0"/>
        <rFont val="Arial"/>
        <family val="2"/>
      </rPr>
      <t>5</t>
    </r>
  </si>
  <si>
    <r>
      <t>FY16</t>
    </r>
    <r>
      <rPr>
        <b/>
        <vertAlign val="superscript"/>
        <sz val="8"/>
        <color theme="0"/>
        <rFont val="Arial"/>
        <family val="2"/>
      </rPr>
      <t>6</t>
    </r>
  </si>
  <si>
    <r>
      <t>FY15</t>
    </r>
    <r>
      <rPr>
        <b/>
        <vertAlign val="superscript"/>
        <sz val="8"/>
        <color theme="0"/>
        <rFont val="Arial"/>
        <family val="2"/>
      </rPr>
      <t>7</t>
    </r>
  </si>
  <si>
    <t>Australian</t>
  </si>
  <si>
    <t>Aboriginal and Torres Strait Islander</t>
  </si>
  <si>
    <r>
      <t>European</t>
    </r>
    <r>
      <rPr>
        <vertAlign val="superscript"/>
        <sz val="8"/>
        <color rgb="FF000000"/>
        <rFont val="Arial"/>
        <family val="2"/>
      </rPr>
      <t>8</t>
    </r>
  </si>
  <si>
    <r>
      <t>Asian</t>
    </r>
    <r>
      <rPr>
        <vertAlign val="superscript"/>
        <sz val="8"/>
        <color rgb="FF000000"/>
        <rFont val="Arial"/>
        <family val="2"/>
      </rPr>
      <t>9</t>
    </r>
  </si>
  <si>
    <t>Maori and New Zealand</t>
  </si>
  <si>
    <t>Middle Eastern</t>
  </si>
  <si>
    <t>South African</t>
  </si>
  <si>
    <t>North American</t>
  </si>
  <si>
    <r>
      <t>Other</t>
    </r>
    <r>
      <rPr>
        <vertAlign val="superscript"/>
        <sz val="8"/>
        <color rgb="FF000000"/>
        <rFont val="Arial"/>
        <family val="2"/>
      </rPr>
      <t>10</t>
    </r>
  </si>
  <si>
    <t>1. Data presented as a percentage of respondents who chose to disclose their cultural background to the Our Voice survey, Stockland’s employee engagement survey. Some employees choose not to disclose their cultural background. Responses to this survey are completely confidential – Stockland has no access to individual data points. Employee participation rate fell from 83% in FY20 to 70% in FY21.</t>
  </si>
  <si>
    <t>2. 83% of respondents chose to disclose their cultural background in FY20.</t>
  </si>
  <si>
    <t>3. 97% of respondents chose to disclose their cultural background in FY19.</t>
  </si>
  <si>
    <t>4. 94% of respondents chose to disclose their cultural background in FY18.</t>
  </si>
  <si>
    <t>5. 91% of respondents chose to disclose their cultural background in FY17.</t>
  </si>
  <si>
    <t>6. 83% of respondents chose to disclose their cultural background in FY16.</t>
  </si>
  <si>
    <t>7. 91% of respondents chose to disclose their cultural background in FY15. In FY15, the response options for the cultural association question were reviewed. The review highlighted the opportunity to provide clearer options and descriptors. The response options are now structured by region with several country examples. The structure is based on the UN regional groupings. This change has contributed to a significant change in cultural background distribution from FY14 to FY15.</t>
  </si>
  <si>
    <t>8. Includes Eastern European, Northern European, Southern European, Western European.</t>
  </si>
  <si>
    <t>9. Includes NE Asian, SE Asian, Southern and Central Asian.</t>
  </si>
  <si>
    <t>10. Includes other backgrounds and those who prefer not to say.</t>
  </si>
  <si>
    <t>11. In FY22, respondents could select 2 x backgrounds, which means the overall percentage &gt; 100%.</t>
  </si>
  <si>
    <t>12. In FY23, we did not request cultural background information as we move to a new system to capture this data. As we move towards doing this new system, in the interim, we will ask a cultural background question in the next Our Voice survey in October 2023.</t>
  </si>
  <si>
    <t>HUMAN CAPITAL DEVELOPMENT</t>
  </si>
  <si>
    <r>
      <t>Learning</t>
    </r>
    <r>
      <rPr>
        <b/>
        <vertAlign val="superscript"/>
        <sz val="12"/>
        <color rgb="FF0080A6"/>
        <rFont val="Arial"/>
        <family val="2"/>
      </rPr>
      <t>1</t>
    </r>
  </si>
  <si>
    <r>
      <t>Training days per employee</t>
    </r>
    <r>
      <rPr>
        <vertAlign val="superscript"/>
        <sz val="8"/>
        <color rgb="FF000000"/>
        <rFont val="Arial"/>
        <family val="2"/>
      </rPr>
      <t>2</t>
    </r>
  </si>
  <si>
    <t xml:space="preserve">1.  Human Capital Development data only includes permanent, fixed term and casual employees. </t>
  </si>
  <si>
    <r>
      <t>2.  Training days per employee is calculated by dividing [Total Number Of Training Hours</t>
    </r>
    <r>
      <rPr>
        <sz val="8"/>
        <rFont val="Arial"/>
        <family val="2"/>
      </rPr>
      <t>/7.8</t>
    </r>
    <r>
      <rPr>
        <sz val="8"/>
        <color theme="1"/>
        <rFont val="Arial"/>
        <family val="2"/>
      </rPr>
      <t>] by [12-Month Average Headcount].</t>
    </r>
  </si>
  <si>
    <r>
      <t>Training days per employee by employee category and gender</t>
    </r>
    <r>
      <rPr>
        <b/>
        <vertAlign val="superscript"/>
        <sz val="12"/>
        <color rgb="FF0080A6"/>
        <rFont val="Arial"/>
        <family val="2"/>
      </rPr>
      <t>1</t>
    </r>
  </si>
  <si>
    <r>
      <t>Employee Category</t>
    </r>
    <r>
      <rPr>
        <b/>
        <vertAlign val="superscript"/>
        <sz val="8"/>
        <color rgb="FF000000"/>
        <rFont val="Arial"/>
        <family val="2"/>
      </rPr>
      <t>2</t>
    </r>
  </si>
  <si>
    <t>Executive Committee</t>
  </si>
  <si>
    <t>Executive General Manager</t>
  </si>
  <si>
    <t>General Manager</t>
  </si>
  <si>
    <t>Senior Manager</t>
  </si>
  <si>
    <t>Professional/Technical</t>
  </si>
  <si>
    <r>
      <t>Total</t>
    </r>
    <r>
      <rPr>
        <b/>
        <vertAlign val="superscript"/>
        <sz val="8"/>
        <color rgb="FF000000"/>
        <rFont val="Arial"/>
        <family val="2"/>
      </rPr>
      <t xml:space="preserve"> 3</t>
    </r>
  </si>
  <si>
    <t xml:space="preserve">1. Training data and average headcount does not include those who do not identify as a male or a female. </t>
  </si>
  <si>
    <t>2. We introduced LinkedIn Learning in FY23 to allow more self-guided upskilling for all our employees.</t>
  </si>
  <si>
    <t>3. Totals reflect a weighted average.</t>
  </si>
  <si>
    <t>Development</t>
  </si>
  <si>
    <r>
      <t>% Eligible Employees</t>
    </r>
    <r>
      <rPr>
        <b/>
        <vertAlign val="superscript"/>
        <sz val="8"/>
        <color theme="0"/>
        <rFont val="Arial"/>
        <family val="2"/>
      </rPr>
      <t>1</t>
    </r>
  </si>
  <si>
    <t>Performance review</t>
  </si>
  <si>
    <t>Career development plan</t>
  </si>
  <si>
    <t>1. Eligible employees are permanent employees who have worked for Stockland for at least three months.</t>
  </si>
  <si>
    <t>ENVIRONMENT</t>
  </si>
  <si>
    <t>Background Notes &amp; Reporting Boundary</t>
  </si>
  <si>
    <t>As a real estate owner and developer, acquisitions, divestments and development activity within a given year can significantly impact our environmental performance. The table below provides an overview of the data types collected for each of our facility groups.</t>
  </si>
  <si>
    <t>Asset Type</t>
  </si>
  <si>
    <t>Activity Profile</t>
  </si>
  <si>
    <t xml:space="preserve">Electricity </t>
  </si>
  <si>
    <t>Gas</t>
  </si>
  <si>
    <t>Notes</t>
  </si>
  <si>
    <t>Group Operations</t>
  </si>
  <si>
    <t>Corporate offices</t>
  </si>
  <si>
    <t>Internal corporate operations.</t>
  </si>
  <si>
    <t>ü</t>
  </si>
  <si>
    <r>
      <rPr>
        <u/>
        <sz val="9"/>
        <color theme="1"/>
        <rFont val="Arial"/>
        <family val="2"/>
      </rPr>
      <t>Energy &amp; Emissions</t>
    </r>
    <r>
      <rPr>
        <sz val="9"/>
        <color theme="1"/>
        <rFont val="Arial"/>
        <family val="2"/>
      </rPr>
      <t xml:space="preserve">
Unless there are significant changes to the tenancies that we operate from, minor fluctuations generally reflect external factors beyond our control.
- Scope 1: vehicle fleet fuel.
- Scope 2: purchased electricity.
- Scope 3: hire car, airline and rental car travel.
</t>
    </r>
    <r>
      <rPr>
        <u/>
        <sz val="9"/>
        <color theme="1"/>
        <rFont val="Arial"/>
        <family val="2"/>
      </rPr>
      <t>Other</t>
    </r>
    <r>
      <rPr>
        <sz val="9"/>
        <color theme="1"/>
        <rFont val="Arial"/>
        <family val="2"/>
      </rPr>
      <t xml:space="preserve">
Water and waste are typically managed by the base building that we are tenanting. Where we are a tenant within our own building, these resources are reported under the base building.</t>
    </r>
  </si>
  <si>
    <t>Town Centres, Logistics and Workplace</t>
  </si>
  <si>
    <t>Operating our assets.</t>
  </si>
  <si>
    <r>
      <rPr>
        <u/>
        <sz val="9"/>
        <color theme="1"/>
        <rFont val="Arial"/>
        <family val="2"/>
      </rPr>
      <t>Energy &amp; Emissions</t>
    </r>
    <r>
      <rPr>
        <sz val="9"/>
        <color theme="1"/>
        <rFont val="Arial"/>
        <family val="2"/>
      </rPr>
      <t xml:space="preserve">
Unless there are significant changes to our portfolio, or key infrastructure upgrades/installations, changes in our energy and emissions data generally reflect energy efficiency programs and initiatives. 
- Scope 1: gas consumption, refrigerants.
- Scope 2: purchased electricity.
- Scope 3: transmission losses, operational waste.
</t>
    </r>
    <r>
      <rPr>
        <u/>
        <sz val="9"/>
        <color theme="1"/>
        <rFont val="Arial"/>
        <family val="2"/>
      </rPr>
      <t>Other</t>
    </r>
    <r>
      <rPr>
        <sz val="9"/>
        <color theme="1"/>
        <rFont val="Arial"/>
        <family val="2"/>
      </rPr>
      <t xml:space="preserve">
Unless there are significant changes to our portfolio, changes reflect water efficiency programs and initiatives, tenancy mix, water leakages, or changes to asset management arrangements.
- Water: potable water consumption.
- Waste: operational waste</t>
    </r>
  </si>
  <si>
    <t>Development of our projects.</t>
  </si>
  <si>
    <t>Waste is collected when there is a Green Star contractor reporting requirement.</t>
  </si>
  <si>
    <t>Communities</t>
  </si>
  <si>
    <t>Masterplanned Communities &amp; Land Lease Communities</t>
  </si>
  <si>
    <t>Operating our Masterplanned Communities site offices and Land Lease Communities centres</t>
  </si>
  <si>
    <r>
      <rPr>
        <u/>
        <sz val="9"/>
        <color theme="1"/>
        <rFont val="Arial"/>
        <family val="2"/>
      </rPr>
      <t>Energy &amp; Emissions</t>
    </r>
    <r>
      <rPr>
        <b/>
        <u/>
        <sz val="9"/>
        <color theme="1"/>
        <rFont val="Arial"/>
        <family val="2"/>
      </rPr>
      <t xml:space="preserve">
</t>
    </r>
    <r>
      <rPr>
        <sz val="9"/>
        <color theme="1"/>
        <rFont val="Arial"/>
        <family val="2"/>
      </rPr>
      <t xml:space="preserve">Unless there are significant changes to our portfolio, annual changes generally reflect energy efficiency programs and initiatives and climatic conditions (e.g. milder temperatures reduce energy demand).
- Scope 1: our direct gas consumption.
- Scope 2: our direct consumption of purchased electricity.
- Scope 3: transmission losses.
</t>
    </r>
    <r>
      <rPr>
        <u/>
        <sz val="9"/>
        <color theme="1"/>
        <rFont val="Arial"/>
        <family val="2"/>
      </rPr>
      <t>Other</t>
    </r>
    <r>
      <rPr>
        <sz val="9"/>
        <color theme="1"/>
        <rFont val="Arial"/>
        <family val="2"/>
      </rPr>
      <t xml:space="preserve">
Unless there are significant changes to our portfolio, annual changes generally reflect water efficiency programs and initiatives. Waste is collected by local council and not reported.</t>
    </r>
  </si>
  <si>
    <t xml:space="preserve"> Land Lease Communities</t>
  </si>
  <si>
    <t>Development of our Land Lease Communities projects using Halcyon Constructions Queensland Pty Ltd</t>
  </si>
  <si>
    <t>Energy &amp; Emissions
Increased civil works activity has a direct correlation with increased energy and emissions. In periods where we are actively developing our assets, our emissions profile is higher.
- Scope 1: emissions from gas and fuel consumption by Halcyon Constructions Queensland (HCQ), and our direct gas consumption.
- Scope 2: emissions from purchased electricity consumption reported by HCQ, and our purchased electricity.
- Scope 3: transmission losses.
Other
Increased civil work activity has a direct correlation with increased water consumption. In periods where we are actively developing our assets, our water consumption is higher. Increased finishing works (e.g. landscaping upgrades) also contribute to increased water consumption.
- Water: potable and non-potable water consumption by HCQ, and our direct water consumption.
- Waste: waste generation reported by HCQ.</t>
  </si>
  <si>
    <r>
      <rPr>
        <b/>
        <sz val="9"/>
        <rFont val="Arial"/>
        <family val="2"/>
      </rPr>
      <t>Contractor reporting:</t>
    </r>
    <r>
      <rPr>
        <sz val="9"/>
        <rFont val="Arial"/>
        <family val="2"/>
      </rPr>
      <t xml:space="preserve"> Development of our Masterplanned Communities and Land Lease projects using Principal Contractors</t>
    </r>
    <r>
      <rPr>
        <vertAlign val="superscript"/>
        <sz val="9"/>
        <rFont val="Arial"/>
        <family val="2"/>
      </rPr>
      <t>1</t>
    </r>
  </si>
  <si>
    <r>
      <rPr>
        <u/>
        <sz val="9"/>
        <color theme="1"/>
        <rFont val="Arial"/>
        <family val="2"/>
      </rPr>
      <t xml:space="preserve">Energy &amp; Emissions
</t>
    </r>
    <r>
      <rPr>
        <sz val="9"/>
        <color theme="1"/>
        <rFont val="Arial"/>
        <family val="2"/>
      </rPr>
      <t>As noted in the ‘Boundary change’ above, the Scope 1 emissions generated by our Residential Subdivision Construction Principal Contractors have been re-categorised as Scope 3 emissions.</t>
    </r>
    <r>
      <rPr>
        <b/>
        <u/>
        <sz val="9"/>
        <color theme="1"/>
        <rFont val="Arial"/>
        <family val="2"/>
      </rPr>
      <t xml:space="preserve">
</t>
    </r>
    <r>
      <rPr>
        <sz val="9"/>
        <color theme="1"/>
        <rFont val="Arial"/>
        <family val="2"/>
      </rPr>
      <t xml:space="preserve">- Scope 1: n/a
- Scope 2: n/a
- Scope 3: transmission losses, emissions from gas and fuel consumption reported by our principal contractors
</t>
    </r>
    <r>
      <rPr>
        <u/>
        <sz val="9"/>
        <color theme="1"/>
        <rFont val="Arial"/>
        <family val="2"/>
      </rPr>
      <t>Other</t>
    </r>
    <r>
      <rPr>
        <sz val="9"/>
        <color theme="1"/>
        <rFont val="Arial"/>
        <family val="2"/>
      </rPr>
      <t xml:space="preserve">
Increased civil work activity has a direct correlation with increased water consumption. In periods where we are actively developing our assets, our water consumption is higher. Increased finishing works (e.g. landscaping upgrades) also contribute to increased water consumption.
- Water: potable and non-potable water consumption by our contractors, and our direct water consumption.
- Waste: waste generation reported by our contractors.</t>
    </r>
  </si>
  <si>
    <t>Retirement Living Community
(Affinity Village, WA only)</t>
  </si>
  <si>
    <t>Operating our Retirement Living communities.</t>
  </si>
  <si>
    <r>
      <rPr>
        <u/>
        <sz val="9"/>
        <color theme="1"/>
        <rFont val="Arial"/>
        <family val="2"/>
      </rPr>
      <t>Energy &amp; Emissions</t>
    </r>
    <r>
      <rPr>
        <sz val="9"/>
        <color theme="1"/>
        <rFont val="Arial"/>
        <family val="2"/>
      </rPr>
      <t xml:space="preserve">
IStockland divested its Retirement Living portfolio on 22 July 2022 (Stockland did not have operational control for July 2022 period). Stockland retained one Retirement Living assets, Affinity Village, WA. All figures reported in FY23 for Retirement Living reflect this change.
- Scope 1: our direct gas consumption (can include residents' consumption where a village is not sub-metered).
- Scope 2: our direct consumption of purchased electricity (can include residents' consumption where a village is not sub-metered).
- Scope 3: transmission losses.
</t>
    </r>
    <r>
      <rPr>
        <u/>
        <sz val="9"/>
        <color theme="1"/>
        <rFont val="Arial"/>
        <family val="2"/>
      </rPr>
      <t>Other</t>
    </r>
    <r>
      <rPr>
        <sz val="9"/>
        <color theme="1"/>
        <rFont val="Arial"/>
        <family val="2"/>
      </rPr>
      <t xml:space="preserve">
Unless there are significant changes to our portfolio, annual changes generally reflect water efficiency programs and initiatives and development villages opening to residents. Waste is collected by local council and not reported.
</t>
    </r>
  </si>
  <si>
    <r>
      <rPr>
        <b/>
        <sz val="9"/>
        <rFont val="Arial"/>
        <family val="2"/>
      </rPr>
      <t xml:space="preserve">Contractor reporting: </t>
    </r>
    <r>
      <rPr>
        <sz val="9"/>
        <rFont val="Arial"/>
        <family val="2"/>
      </rPr>
      <t>Development of our projects and communities usuing Prinicpal Contractors</t>
    </r>
  </si>
  <si>
    <t>Same conditions as the 'Development of our Masterplanned Communities and Land Lease projects using Principal Contractors'.</t>
  </si>
  <si>
    <t>l</t>
  </si>
  <si>
    <t>Not achieved</t>
  </si>
  <si>
    <t>On track</t>
  </si>
  <si>
    <t>Targets (FY22-24)</t>
  </si>
  <si>
    <t>Achieved</t>
  </si>
  <si>
    <t>Objective</t>
  </si>
  <si>
    <t>Business Unit</t>
  </si>
  <si>
    <t>FY22-24 Target</t>
  </si>
  <si>
    <t>FY23 Progress</t>
  </si>
  <si>
    <t>Status</t>
  </si>
  <si>
    <t>Conservation and creation of natural assets across our portfolio.</t>
  </si>
  <si>
    <t>Group</t>
  </si>
  <si>
    <t>Provide opportunities for employees to undertake one day per year volunteering on sites where we are protecting and restoring biodiversity.</t>
  </si>
  <si>
    <r>
      <rPr>
        <sz val="9"/>
        <color rgb="FF000000"/>
        <rFont val="Arial"/>
        <family val="2"/>
      </rPr>
      <t xml:space="preserve">Several employees in Sydney (NSW) volunteered at Indigrow an Indigenous owned and operated social enterprise. The team assisted with mulching, weeding, and propagating native plant species. </t>
    </r>
    <r>
      <rPr>
        <i/>
        <sz val="9"/>
        <color rgb="FF000000"/>
        <rFont val="Arial"/>
        <family val="2"/>
      </rPr>
      <t>This target will change to align with refreshed ESG Strategy and CARE Foundation Strategy.</t>
    </r>
  </si>
  <si>
    <t>For new Masterplanned Communities, make an aggregated net positive contribution to the biodiversity value by FY24 as determined by th biodiversity calculator.</t>
  </si>
  <si>
    <t>There were no new Masterplanned Communities that reached Stage 3 of D-Life and were over 500 lots in FY23, and therefore no biodiversity calculators performed. In FY23, Stockland completed a review of how we measure positive and negative impacts on biodiversity associated with our developments. We found that there have been advances in relation to the quantification of biodiversity outcomes since we first deployed our  proprietary biodiversity calculator in 2015. Following this review, Stockland has started work on the development of  an updated calculator and approach to tracking biodiversity  outcomes associated with our developments. We aim to revise our biodiversity target in line with emerging definitions for biodiversity impacts.</t>
  </si>
  <si>
    <t>Invest in on- and off-site
habitat restoration.</t>
  </si>
  <si>
    <t>All projects with significant biodiversity develop a biodiversity management plan.</t>
  </si>
  <si>
    <t>The majority of our projects with significant biodiversity on site have already implemented biodiversity management plans. Cloverton (Vic), Banksia (Vic), Minta (Vic), Evergreen (Vic) and Katalia (Vic) are still in the process of developing biodiversity management plans.</t>
  </si>
  <si>
    <t>Explore landbank opportunities to support habitat restoration including collection and propagation of provenance seed banks.</t>
  </si>
  <si>
    <t>This year, we continue to review our existing landbank and offsets to better understand opportunities to restore and regenerate nature.</t>
  </si>
  <si>
    <t>Carbon and Energy</t>
  </si>
  <si>
    <t>Achieve Net Zero Carbon across our portfolio by 2028.</t>
  </si>
  <si>
    <t>Achieve Net Zero Carbon across our portfolio by 2028</t>
  </si>
  <si>
    <t>4 Star Green Star Performance Portfolio Rating for Town Centres and Workplace.</t>
  </si>
  <si>
    <t>4 Star Green Star Performance rating achieved in Retail and Workplace in FY23</t>
  </si>
  <si>
    <t>Achieve a first time Green Star Performance portfolio rating in Logistics.</t>
  </si>
  <si>
    <t>We have registered a Green Star Performance rating for the logistics portfolio for several pilot sites. On track to receive GBCA certification by FY24.</t>
  </si>
  <si>
    <t>5 Star NABERS energy Commercial Property portfolio average by asset class.</t>
  </si>
  <si>
    <t>We achieved 4.7 stars in Retail and 5.0 stars in workplace for NABERS Energy, on our way to achieving 5 Star in FY24.
We continued to invest in energy efficieny initatives of close to $950,000 in FY23.</t>
  </si>
  <si>
    <t>10 per cent improvement in FY20 carbon intensity and 5 per cent improvement in FY20 energy intensity for Commercial Property.</t>
  </si>
  <si>
    <t>Since FY20, we have acheived a 12.7 per cent reduction in emissions intensity, however, there is a 0.14% increase in energy intensity due to a return to pre-COVID activity.</t>
  </si>
  <si>
    <t>All Town Centres to offer electric vehicle charging stations.</t>
  </si>
  <si>
    <t>We continue to investigate opportunites to scale our investment in electric vehicle charnging stations across our Town Centre.</t>
  </si>
  <si>
    <t>Medium Density developments to exceed minimum National Construction Code (NCC) energy related compliance standards by 25 per cent.</t>
  </si>
  <si>
    <t xml:space="preserve">In FY23 our Medium Density developments have exceeded NCC (2022) by 52% improvement for Energy. The NCC was updated in 2022 to lift the performance standards. This target has been superceeded by the new standard.  </t>
  </si>
  <si>
    <t>All new Apartments to exceed minimum NCC energy related compliance standards by 10 per cent.</t>
  </si>
  <si>
    <t xml:space="preserve">There were no new Apartments projects delivered in FY23. The NCC was updated in 2022 to lift the performance standards. This target has been superceeded by the new standard.  </t>
  </si>
  <si>
    <t>N/A</t>
  </si>
  <si>
    <t>All new Net Zero Carbon built form homes by 2030.</t>
  </si>
  <si>
    <r>
      <rPr>
        <sz val="9"/>
        <color rgb="FF000000"/>
        <rFont val="Arial"/>
        <family val="2"/>
      </rPr>
      <t xml:space="preserve">We have previously piloted Green Star homes on an individual project which targeted net zero carbon outcomes. Our new ESG strategy seeks greater impact across our portfolio with science-based targets for decarbonisation towards net zero, and a focus on reducing emissions in the use of sold product (Scope 3, Cat 11) for homes. Individual developments may additionally pursue separate net zero carbon certification. </t>
    </r>
    <r>
      <rPr>
        <i/>
        <sz val="9"/>
        <color rgb="FF000000"/>
        <rFont val="Arial"/>
        <family val="2"/>
      </rPr>
      <t>In alignment with our decarbonisation targets we will no longer pursue this target.</t>
    </r>
  </si>
  <si>
    <t>Enable our value chain to deliver better quality built form.</t>
  </si>
  <si>
    <t>All new Workplace and Town Centre developments to achieve a minimum 5 star Green Star rating.</t>
  </si>
  <si>
    <r>
      <rPr>
        <sz val="9"/>
        <rFont val="Arial"/>
        <family val="2"/>
      </rPr>
      <t xml:space="preserve">Our new </t>
    </r>
    <r>
      <rPr>
        <sz val="9"/>
        <color rgb="FF000000"/>
        <rFont val="Arial"/>
        <family val="2"/>
      </rPr>
      <t>Workplace developments at Stockland Piccadilly (NSW), M_Park Buildings A, C and D (NSW) and Affinity Place (NSW) are targeting 6 stars.</t>
    </r>
  </si>
  <si>
    <t>All new Logistics developments to achieve a minimum 4 star Green Star rating.</t>
  </si>
  <si>
    <t>All Logistics developments are registered for 5 star Green Star ratings, with the exception of Yatala which is currently registered for 4 Stars.</t>
  </si>
  <si>
    <t>All new Masterplanned Communities (over 1,000 lots) to achieve a Green Star rating.</t>
  </si>
  <si>
    <r>
      <rPr>
        <sz val="9"/>
        <color rgb="FF000000"/>
        <rFont val="Arial"/>
        <family val="2"/>
      </rPr>
      <t xml:space="preserve">Masterplanned communities in the early stages of development are reviewing the requirements associated with Green Star submissions. Our Providence (Qld) community is registered for Green Star Communities. </t>
    </r>
    <r>
      <rPr>
        <i/>
        <sz val="9"/>
        <color rgb="FF000000"/>
        <rFont val="Arial"/>
        <family val="2"/>
      </rPr>
      <t>We will review the proposed updates Green Star Communities to confirm our ongoing approach.</t>
    </r>
  </si>
  <si>
    <t>Embed asset and community scale resilience for our portfolio</t>
  </si>
  <si>
    <t>Continue to conduct resilience assessments on all new and high priority assets.</t>
  </si>
  <si>
    <t>As of FY23, 100% of our assets and development projects have completed an asset level climate risk assessment.</t>
  </si>
  <si>
    <t>All assets to target (as a minimum) ‘moderate’ resilience rating (as per Group Resilience Tool ‘9-16’).</t>
  </si>
  <si>
    <t>All assessed assets achieved, as a minimum, a moderate resilience rating.</t>
  </si>
  <si>
    <t>All new Masterplanned Communities to include a minimum 10 per cent total tree canopy cover (to reduce urban heat island).</t>
  </si>
  <si>
    <t>During FY23, several new Masterplanned Communities have committed to tree canopy cover targets beyond a minimum 10 per cent.</t>
  </si>
  <si>
    <t>All new Masterplanned Communities developments to include options for light coloured or reflective roofs including demonstration in display villages.</t>
  </si>
  <si>
    <t>Our Better Places Manual is used to embed these requirements and to help our project teams in the design and delivery of their Masterplanned Communities development.</t>
  </si>
  <si>
    <t>Waste and Materials</t>
  </si>
  <si>
    <t>Adopt and implement circular models with stakeholders.</t>
  </si>
  <si>
    <t>Eliminate Single Use Plastics across Corporate Offices.</t>
  </si>
  <si>
    <t xml:space="preserve">Our Corporate Procurement team continues to review and eliminate single use plastics. Where possible, sustainable alternatives have been selected to replace products with plastics either in packaging or production. </t>
  </si>
  <si>
    <t>Divert waste from landfill
• 90 per cent Masterplanned Communities civil contracts
• 55 per cent Town Centre operational waste
• 80 per cent Logistics and Workplace operational waste</t>
  </si>
  <si>
    <t xml:space="preserve">In FY23 diverted waste from landfill was;
• 96 per cent Masterplanned Communities civil contracts. 
• 40 per cent Town Centre 
• 79 per cent Workplace and Logistics </t>
  </si>
  <si>
    <t>Conduct NABERS Waste ratings on Workplace portfolio.</t>
  </si>
  <si>
    <t>In FY23 we continued to conduct NABERS Waste ratings on the Workplace Portfolio</t>
  </si>
  <si>
    <t>30 per cent of new Masterplanned Communities projects to trial sustainable asphalt roads.</t>
  </si>
  <si>
    <r>
      <rPr>
        <sz val="9"/>
        <color rgb="FF000000"/>
        <rFont val="Arial"/>
      </rPr>
      <t xml:space="preserve">In FY23, we have continued to trial and roll out sustainable asphalt roads across our Masterplanned Communities including Elara (NSW) and Altrove (NSW). </t>
    </r>
    <r>
      <rPr>
        <i/>
        <sz val="9"/>
        <color rgb="FF000000"/>
        <rFont val="Arial"/>
      </rPr>
      <t>The use of lower-carbon materials will continue to be a focus as part of our Scope 3 targets.</t>
    </r>
  </si>
  <si>
    <t>Deliver composting partnerships across all communities.</t>
  </si>
  <si>
    <r>
      <rPr>
        <sz val="9"/>
        <color rgb="FF000000"/>
        <rFont val="Arial"/>
        <family val="2"/>
      </rPr>
      <t>In September 2022, after a successful pilot, we have formed a partnership with Compost Revolution to deliver composting solutions across our residential communities. The program has been launched across 37 of Stockland’s communities.</t>
    </r>
    <r>
      <rPr>
        <i/>
        <sz val="9"/>
        <color rgb="FF000000"/>
        <rFont val="Arial"/>
        <family val="2"/>
      </rPr>
      <t>This target will change to align with refreshed ESG Strategy and approach to Social Impact.</t>
    </r>
  </si>
  <si>
    <t>Reduce embodied impacts through improved lifecycle analysis.</t>
  </si>
  <si>
    <t>Complete 3 Lifecycle Assessments (LCA) on our built form home designs to identify a 10 per cent reduction in embodied impacts.</t>
  </si>
  <si>
    <r>
      <rPr>
        <sz val="9"/>
        <color rgb="FF000000"/>
        <rFont val="Arial"/>
        <family val="2"/>
      </rPr>
      <t xml:space="preserve">In FY23 to develop baseline conditions for our decarbonisation pathway we completed LCAs across our built form home designs. During the FY22-24 target period we have completed LCAs for six built form projects. </t>
    </r>
    <r>
      <rPr>
        <i/>
        <sz val="9"/>
        <color rgb="FF000000"/>
        <rFont val="Arial"/>
        <family val="2"/>
      </rPr>
      <t>Will will measure our upfront carbon as part of our Scope 3 commitments.</t>
    </r>
  </si>
  <si>
    <t>Establish minimum standards for material suppliers against Modern Slavery, Health and Safety, and Embodied Carbon criteria.</t>
  </si>
  <si>
    <t xml:space="preserve">To measure and track our new carbon targets we are developing LCA embodied carbon standards. See modern slavery statement for supply chain impacts. </t>
  </si>
  <si>
    <t>Water Management &amp; Quality</t>
  </si>
  <si>
    <t>Work towards a Net Zero Water future</t>
  </si>
  <si>
    <t>4 Star NABERS Water Workplace portfolio average.</t>
  </si>
  <si>
    <t xml:space="preserve"> 4 Star NABERS Water rating achieved for Workplace portfolio in FY23 </t>
  </si>
  <si>
    <t>5 per cent improvement in Commercial Property FY20 water intensity by asset class.</t>
  </si>
  <si>
    <t>4% improvement in Commercial Property in water intensity against FY20.</t>
  </si>
  <si>
    <t>NABERS Water Town Centre portfolio average of 3.5 stars.</t>
  </si>
  <si>
    <t xml:space="preserve"> 3.5 Star NABERS Water rating achieved for Retail portfolio in FY23 </t>
  </si>
  <si>
    <t xml:space="preserve">Medium Density developments to exceed reduction in potable water building code compliance requirements by 7.5 per cent. </t>
  </si>
  <si>
    <t xml:space="preserve">In FY23 our Medium Density portfolio exceeded NCC 2022 standard by 7.3 per cent for water. The NCC was updated in 2022 to lift the performance standards. This target has been superceeded by the new standard.  </t>
  </si>
  <si>
    <t>Water discharged from our Masterplanned Communities sites and/or into natural water systems to achieve the following (benchmarked against regulatory standards):
• 45 per cent reduction in nitrogen
• 65 per cent reduction in phosphorous
• 80 per cent reduction in suspended solids.</t>
  </si>
  <si>
    <t xml:space="preserve">Over 85 per cent of our active Masterplanned Communities sites (over 500 lots) have achieved these water quality standards. All sites meet regulatory standards. </t>
  </si>
  <si>
    <t>All new Masterplanned Communities projects propose water cycle efficiency options.</t>
  </si>
  <si>
    <t xml:space="preserve">Our new Masterplanned projects are implementing a range of water cycle efficiency options which include drought-tolerant landscaping, rainwater tanks, recycled water for specific household uses, dust suppression and irrigation.  </t>
  </si>
  <si>
    <t>EMISSIONS</t>
  </si>
  <si>
    <r>
      <t>Total greenhouse gas emissions (tC</t>
    </r>
    <r>
      <rPr>
        <b/>
        <sz val="12"/>
        <color rgb="FF31869B"/>
        <rFont val="Arial"/>
        <family val="2"/>
      </rPr>
      <t>O</t>
    </r>
    <r>
      <rPr>
        <b/>
        <vertAlign val="subscript"/>
        <sz val="12"/>
        <color rgb="FF31869B"/>
        <rFont val="Arial"/>
        <family val="2"/>
      </rPr>
      <t>2</t>
    </r>
    <r>
      <rPr>
        <b/>
        <sz val="12"/>
        <color rgb="FF31869B"/>
        <rFont val="Arial"/>
        <family val="2"/>
      </rPr>
      <t>-e)</t>
    </r>
  </si>
  <si>
    <r>
      <t>Total greenhouse gas emissions (tCO</t>
    </r>
    <r>
      <rPr>
        <b/>
        <vertAlign val="subscript"/>
        <sz val="12"/>
        <color theme="2" tint="-0.749992370372631"/>
        <rFont val="Arial"/>
        <family val="2"/>
      </rPr>
      <t>2</t>
    </r>
    <r>
      <rPr>
        <b/>
        <sz val="12"/>
        <color theme="2" tint="-0.749992370372631"/>
        <rFont val="Arial"/>
        <family val="2"/>
      </rPr>
      <t>-e) prior to restatement</t>
    </r>
  </si>
  <si>
    <t>Stockland group total Scope 1</t>
  </si>
  <si>
    <r>
      <t xml:space="preserve">3,902 </t>
    </r>
    <r>
      <rPr>
        <vertAlign val="superscript"/>
        <sz val="8"/>
        <color rgb="FF000000"/>
        <rFont val="Arial"/>
        <family val="2"/>
      </rPr>
      <t>1</t>
    </r>
  </si>
  <si>
    <r>
      <t>Stockland group total Scope 2</t>
    </r>
    <r>
      <rPr>
        <vertAlign val="superscript"/>
        <sz val="8"/>
        <rFont val="Arial"/>
        <family val="2"/>
      </rPr>
      <t>2</t>
    </r>
  </si>
  <si>
    <r>
      <rPr>
        <sz val="8"/>
        <color rgb="FF000000"/>
        <rFont val="Arial"/>
        <family val="2"/>
      </rPr>
      <t xml:space="preserve">45,990 </t>
    </r>
    <r>
      <rPr>
        <vertAlign val="superscript"/>
        <sz val="8"/>
        <color rgb="FF000000"/>
        <rFont val="Arial"/>
        <family val="2"/>
      </rPr>
      <t>3</t>
    </r>
  </si>
  <si>
    <r>
      <rPr>
        <sz val="8"/>
        <color rgb="FF000000"/>
        <rFont val="Arial"/>
        <family val="2"/>
      </rPr>
      <t xml:space="preserve">49,172 </t>
    </r>
    <r>
      <rPr>
        <vertAlign val="superscript"/>
        <sz val="8"/>
        <color rgb="FF000000"/>
        <rFont val="Arial"/>
        <family val="2"/>
      </rPr>
      <t>3</t>
    </r>
  </si>
  <si>
    <r>
      <rPr>
        <sz val="8"/>
        <color rgb="FF000000"/>
        <rFont val="Arial"/>
        <family val="2"/>
      </rPr>
      <t xml:space="preserve">54,466 </t>
    </r>
    <r>
      <rPr>
        <vertAlign val="superscript"/>
        <sz val="8"/>
        <color rgb="FF000000"/>
        <rFont val="Arial"/>
        <family val="2"/>
      </rPr>
      <t>3</t>
    </r>
  </si>
  <si>
    <r>
      <rPr>
        <sz val="8"/>
        <color rgb="FF000000"/>
        <rFont val="Arial"/>
        <family val="2"/>
      </rPr>
      <t xml:space="preserve">70,648 </t>
    </r>
    <r>
      <rPr>
        <vertAlign val="superscript"/>
        <sz val="8"/>
        <color rgb="FF000000"/>
        <rFont val="Arial"/>
        <family val="2"/>
      </rPr>
      <t>3</t>
    </r>
  </si>
  <si>
    <t>Stockland group total Scope 1+2 emissions</t>
  </si>
  <si>
    <t>1. The Scope 1 emissions generated by our Residential Subdivision Construction Principal Contractors from FY22 onwards, have been re-categorised as Scope 3 emissions due to third party advice regarding our reporting obligations under the National Greenhouse and Energy Reporting Act 2007. This also applies to the Scope 1 emissions generated by our LLC contractors.</t>
  </si>
  <si>
    <t>2. Figure reported is Stockland's location-based Scope 2 emissions.</t>
  </si>
  <si>
    <t>3. In FY23, a system error was identified where solar energy had been incorrectly recorded historically. In instances where solar generation was greater than Stockland’s common area consumption, the system was inaccurately attributing excess solar energy as negative consumption and not offsetting the tenant consumption. This resulted in reduced scope 2 emissions for certain periods. Where required, Stockland has recalculated and restated its energy consumption and emissions from FY19-FY22. For comparison to prior year statements please see the table to the right.</t>
  </si>
  <si>
    <r>
      <t>Scope 1 emissions (tCO</t>
    </r>
    <r>
      <rPr>
        <b/>
        <vertAlign val="subscript"/>
        <sz val="12"/>
        <color rgb="FF0080A6"/>
        <rFont val="Arial"/>
        <family val="2"/>
      </rPr>
      <t>2</t>
    </r>
    <r>
      <rPr>
        <b/>
        <sz val="12"/>
        <color rgb="FF0080A6"/>
        <rFont val="Arial"/>
        <family val="2"/>
      </rPr>
      <t>-e)</t>
    </r>
  </si>
  <si>
    <t>No restatement for Scope 1 emissions</t>
  </si>
  <si>
    <t>Workplace and Business Parks (base building) gas</t>
  </si>
  <si>
    <t>Logistics centres gas</t>
  </si>
  <si>
    <t xml:space="preserve"> -   </t>
  </si>
  <si>
    <t>-</t>
  </si>
  <si>
    <t>–</t>
  </si>
  <si>
    <t>Town Centres gas</t>
  </si>
  <si>
    <t>Vehicle fleet fuel</t>
  </si>
  <si>
    <r>
      <t>Refrigerant leaks</t>
    </r>
    <r>
      <rPr>
        <vertAlign val="superscript"/>
        <sz val="8"/>
        <color theme="1"/>
        <rFont val="Arial"/>
        <family val="2"/>
      </rPr>
      <t>1</t>
    </r>
  </si>
  <si>
    <t>Residential sites fuel &amp; gas</t>
  </si>
  <si>
    <r>
      <t>Residential contractors fuel &amp; gas</t>
    </r>
    <r>
      <rPr>
        <vertAlign val="superscript"/>
        <sz val="8"/>
        <rFont val="Arial"/>
        <family val="2"/>
      </rPr>
      <t>2</t>
    </r>
  </si>
  <si>
    <r>
      <t>N/A</t>
    </r>
    <r>
      <rPr>
        <vertAlign val="superscript"/>
        <sz val="8"/>
        <color rgb="FF000000"/>
        <rFont val="Arial"/>
        <family val="2"/>
      </rPr>
      <t>2</t>
    </r>
  </si>
  <si>
    <r>
      <t>Retirement Living fuel &amp; gas</t>
    </r>
    <r>
      <rPr>
        <vertAlign val="superscript"/>
        <sz val="8"/>
        <color theme="1"/>
        <rFont val="Arial"/>
        <family val="2"/>
      </rPr>
      <t>3</t>
    </r>
  </si>
  <si>
    <t>Retirement Living (contractors) fuel &amp; gas</t>
  </si>
  <si>
    <t>Land Lease Communities fuel &amp; gas</t>
  </si>
  <si>
    <r>
      <t>Land Lease Communities (contractors) fuel &amp; gas</t>
    </r>
    <r>
      <rPr>
        <vertAlign val="superscript"/>
        <sz val="8"/>
        <rFont val="Arial"/>
        <family val="2"/>
      </rPr>
      <t>4</t>
    </r>
  </si>
  <si>
    <t>Total Scope 1 emissions</t>
  </si>
  <si>
    <t>1. Excludes Refrigerant R-22 in line with NGERs reporting protocol.</t>
  </si>
  <si>
    <t>2. The Scope 1 emissions generated by our Residential Subdivision Construction Principal Contractors from FY22 onwards, have been re-categorised as Scope 3 emissions due to third party advice regarding our reporting obligations under the National Greenhouse and Energy Reporting Act 2007. This also applies to the Scope 1 emissions generated by our LLC contractors.</t>
  </si>
  <si>
    <t>3. As of 30 June 2022, Stockland divested its Retirement Living portfolio, with the exception of Affinity Village, WA.</t>
  </si>
  <si>
    <t>4. This includes emissions generated by Halcyon Constructions Queensland Pty Ltd only. All other contractors fall under Scope 3 emissions.</t>
  </si>
  <si>
    <r>
      <t>Scope 2 emissions (tCO</t>
    </r>
    <r>
      <rPr>
        <b/>
        <vertAlign val="subscript"/>
        <sz val="12"/>
        <color rgb="FF0080A6"/>
        <rFont val="Arial"/>
        <family val="2"/>
      </rPr>
      <t>2</t>
    </r>
    <r>
      <rPr>
        <b/>
        <sz val="12"/>
        <color rgb="FF0080A6"/>
        <rFont val="Arial"/>
        <family val="2"/>
      </rPr>
      <t>-e)</t>
    </r>
  </si>
  <si>
    <r>
      <t>Scope 2 emissions (tCO</t>
    </r>
    <r>
      <rPr>
        <b/>
        <vertAlign val="subscript"/>
        <sz val="12"/>
        <color theme="2" tint="-0.749992370372631"/>
        <rFont val="Arial"/>
        <family val="2"/>
      </rPr>
      <t>2</t>
    </r>
    <r>
      <rPr>
        <b/>
        <sz val="12"/>
        <color theme="2" tint="-0.749992370372631"/>
        <rFont val="Arial"/>
        <family val="2"/>
      </rPr>
      <t>-e) prior to restatement</t>
    </r>
  </si>
  <si>
    <t>Location based emissions - by portfolio area</t>
  </si>
  <si>
    <r>
      <t>Corporate tenancies electricity</t>
    </r>
    <r>
      <rPr>
        <vertAlign val="superscript"/>
        <sz val="8"/>
        <color rgb="FF000000"/>
        <rFont val="Arial"/>
        <family val="2"/>
      </rPr>
      <t>1</t>
    </r>
  </si>
  <si>
    <r>
      <t>Workplace and Business Parks base building electricity</t>
    </r>
    <r>
      <rPr>
        <vertAlign val="superscript"/>
        <sz val="8"/>
        <color rgb="FF000000"/>
        <rFont val="Arial"/>
        <family val="2"/>
      </rPr>
      <t>1</t>
    </r>
  </si>
  <si>
    <t>Workplace and Business Parks base building electricity</t>
  </si>
  <si>
    <t>Logistics centres electricity</t>
  </si>
  <si>
    <r>
      <t xml:space="preserve">273 </t>
    </r>
    <r>
      <rPr>
        <vertAlign val="superscript"/>
        <sz val="8"/>
        <color rgb="FF000000"/>
        <rFont val="Arial"/>
        <family val="2"/>
      </rPr>
      <t>3</t>
    </r>
  </si>
  <si>
    <r>
      <t xml:space="preserve">407 </t>
    </r>
    <r>
      <rPr>
        <vertAlign val="superscript"/>
        <sz val="8"/>
        <color rgb="FF000000"/>
        <rFont val="Arial"/>
        <family val="2"/>
      </rPr>
      <t>3</t>
    </r>
  </si>
  <si>
    <r>
      <rPr>
        <sz val="8"/>
        <color rgb="FF000000"/>
        <rFont val="Arial"/>
        <family val="2"/>
      </rPr>
      <t xml:space="preserve">1,227 </t>
    </r>
    <r>
      <rPr>
        <vertAlign val="superscript"/>
        <sz val="8"/>
        <color rgb="FF000000"/>
        <rFont val="Arial"/>
        <family val="2"/>
      </rPr>
      <t>3</t>
    </r>
  </si>
  <si>
    <r>
      <rPr>
        <sz val="8"/>
        <color rgb="FF000000"/>
        <rFont val="Arial"/>
        <family val="2"/>
      </rPr>
      <t xml:space="preserve">1,802 </t>
    </r>
    <r>
      <rPr>
        <vertAlign val="superscript"/>
        <sz val="8"/>
        <color rgb="FF000000"/>
        <rFont val="Arial"/>
        <family val="2"/>
      </rPr>
      <t>3</t>
    </r>
  </si>
  <si>
    <r>
      <t>Logistics centres electricity</t>
    </r>
    <r>
      <rPr>
        <vertAlign val="superscript"/>
        <sz val="8"/>
        <color rgb="FF000000"/>
        <rFont val="Arial"/>
        <family val="2"/>
      </rPr>
      <t>2</t>
    </r>
  </si>
  <si>
    <t>Town Centres electricity</t>
  </si>
  <si>
    <r>
      <rPr>
        <sz val="8"/>
        <color rgb="FF000000"/>
        <rFont val="Arial"/>
        <family val="2"/>
      </rPr>
      <t xml:space="preserve">28,352 </t>
    </r>
    <r>
      <rPr>
        <vertAlign val="superscript"/>
        <sz val="8"/>
        <color rgb="FF000000"/>
        <rFont val="Arial"/>
        <family val="2"/>
      </rPr>
      <t>3</t>
    </r>
  </si>
  <si>
    <r>
      <rPr>
        <sz val="8"/>
        <color rgb="FF000000"/>
        <rFont val="Arial"/>
        <family val="2"/>
      </rPr>
      <t xml:space="preserve">29,558 </t>
    </r>
    <r>
      <rPr>
        <vertAlign val="superscript"/>
        <sz val="8"/>
        <color rgb="FF000000"/>
        <rFont val="Arial"/>
        <family val="2"/>
      </rPr>
      <t>3</t>
    </r>
  </si>
  <si>
    <r>
      <rPr>
        <sz val="8"/>
        <color rgb="FF000000"/>
        <rFont val="Arial"/>
        <family val="2"/>
      </rPr>
      <t xml:space="preserve">31,887 </t>
    </r>
    <r>
      <rPr>
        <vertAlign val="superscript"/>
        <sz val="8"/>
        <color rgb="FF000000"/>
        <rFont val="Arial"/>
        <family val="2"/>
      </rPr>
      <t>3</t>
    </r>
  </si>
  <si>
    <r>
      <rPr>
        <sz val="8"/>
        <color rgb="FF000000"/>
        <rFont val="Arial"/>
        <family val="2"/>
      </rPr>
      <t xml:space="preserve">43,322 </t>
    </r>
    <r>
      <rPr>
        <vertAlign val="superscript"/>
        <sz val="8"/>
        <color rgb="FF000000"/>
        <rFont val="Arial"/>
        <family val="2"/>
      </rPr>
      <t>3</t>
    </r>
  </si>
  <si>
    <t>Residential sites electricity</t>
  </si>
  <si>
    <t>Residential contractors electricity</t>
  </si>
  <si>
    <r>
      <t>Retirement Living electricity</t>
    </r>
    <r>
      <rPr>
        <vertAlign val="superscript"/>
        <sz val="8"/>
        <color rgb="FF000000"/>
        <rFont val="Arial"/>
        <family val="2"/>
      </rPr>
      <t>2</t>
    </r>
  </si>
  <si>
    <t>Retirement Living electricity</t>
  </si>
  <si>
    <t>Retirement Living (contractors) electricity</t>
  </si>
  <si>
    <t>Land Lease Communities electricity</t>
  </si>
  <si>
    <t>Land Lease Communities contractors electricity</t>
  </si>
  <si>
    <t>Total Scope 2 emissions (location based)</t>
  </si>
  <si>
    <t>Market based emissions - factors</t>
  </si>
  <si>
    <t>Renewable Power Percentage</t>
  </si>
  <si>
    <t>Renewable Power Percentage %</t>
  </si>
  <si>
    <t>National Emission Factor - Scope 2 (Market)</t>
  </si>
  <si>
    <t>Estimated National RMF (kgCO2e/kWh)</t>
  </si>
  <si>
    <t>Market based emissions - by source</t>
  </si>
  <si>
    <t>GreenPower</t>
  </si>
  <si>
    <t>Renewables (Grid)</t>
  </si>
  <si>
    <t>Brown (Grid)</t>
  </si>
  <si>
    <r>
      <rPr>
        <sz val="8"/>
        <color rgb="FF000000"/>
        <rFont val="Arial"/>
        <family val="2"/>
      </rPr>
      <t xml:space="preserve">42,585 </t>
    </r>
    <r>
      <rPr>
        <vertAlign val="superscript"/>
        <sz val="8"/>
        <color rgb="FF000000"/>
        <rFont val="Arial"/>
        <family val="2"/>
      </rPr>
      <t>3</t>
    </r>
  </si>
  <si>
    <r>
      <rPr>
        <sz val="8"/>
        <color rgb="FF000000"/>
        <rFont val="Arial"/>
        <family val="2"/>
      </rPr>
      <t xml:space="preserve">47,063 </t>
    </r>
    <r>
      <rPr>
        <vertAlign val="superscript"/>
        <sz val="8"/>
        <color rgb="FF000000"/>
        <rFont val="Arial"/>
        <family val="2"/>
      </rPr>
      <t>3</t>
    </r>
  </si>
  <si>
    <r>
      <rPr>
        <sz val="8"/>
        <color rgb="FF000000"/>
        <rFont val="Arial"/>
        <family val="2"/>
      </rPr>
      <t xml:space="preserve">52,227 </t>
    </r>
    <r>
      <rPr>
        <vertAlign val="superscript"/>
        <sz val="8"/>
        <color rgb="FF000000"/>
        <rFont val="Arial"/>
        <family val="2"/>
      </rPr>
      <t>3</t>
    </r>
  </si>
  <si>
    <r>
      <rPr>
        <sz val="8"/>
        <color rgb="FF000000"/>
        <rFont val="Arial"/>
        <family val="2"/>
      </rPr>
      <t xml:space="preserve">66,488 </t>
    </r>
    <r>
      <rPr>
        <vertAlign val="superscript"/>
        <sz val="8"/>
        <color rgb="FF000000"/>
        <rFont val="Arial"/>
        <family val="2"/>
      </rPr>
      <t>3</t>
    </r>
  </si>
  <si>
    <t>Renewables (self-generated, consumed onsite and produce LGCs)</t>
  </si>
  <si>
    <r>
      <rPr>
        <sz val="8"/>
        <color rgb="FF000000"/>
        <rFont val="Arial"/>
        <family val="2"/>
      </rPr>
      <t xml:space="preserve">15,492 </t>
    </r>
    <r>
      <rPr>
        <vertAlign val="superscript"/>
        <sz val="8"/>
        <color rgb="FF000000"/>
        <rFont val="Arial"/>
        <family val="2"/>
      </rPr>
      <t>3</t>
    </r>
  </si>
  <si>
    <r>
      <rPr>
        <sz val="8"/>
        <color rgb="FF000000"/>
        <rFont val="Arial"/>
        <family val="2"/>
      </rPr>
      <t xml:space="preserve">21,096 </t>
    </r>
    <r>
      <rPr>
        <vertAlign val="superscript"/>
        <sz val="8"/>
        <color rgb="FF000000"/>
        <rFont val="Arial"/>
        <family val="2"/>
      </rPr>
      <t>3</t>
    </r>
  </si>
  <si>
    <r>
      <rPr>
        <sz val="8"/>
        <color rgb="FF000000"/>
        <rFont val="Arial"/>
        <family val="2"/>
      </rPr>
      <t xml:space="preserve">21,685 </t>
    </r>
    <r>
      <rPr>
        <vertAlign val="superscript"/>
        <sz val="8"/>
        <color rgb="FF000000"/>
        <rFont val="Arial"/>
        <family val="2"/>
      </rPr>
      <t>3</t>
    </r>
  </si>
  <si>
    <r>
      <rPr>
        <sz val="8"/>
        <color rgb="FF000000"/>
        <rFont val="Arial"/>
        <family val="2"/>
      </rPr>
      <t xml:space="preserve">12,121 </t>
    </r>
    <r>
      <rPr>
        <vertAlign val="superscript"/>
        <sz val="8"/>
        <color rgb="FF000000"/>
        <rFont val="Arial"/>
        <family val="2"/>
      </rPr>
      <t>3</t>
    </r>
  </si>
  <si>
    <t>Renewables (self-generated, consumed onsite and no LGCs)</t>
  </si>
  <si>
    <t>Market based emissions - LGCs</t>
  </si>
  <si>
    <t>LGCs sold (MWh)</t>
  </si>
  <si>
    <t>LGCs sold (tCO2-e)</t>
  </si>
  <si>
    <t>LGC surrendered (MWh)</t>
  </si>
  <si>
    <t>LGC surrendered (tCO2-e)</t>
  </si>
  <si>
    <t>Scope 2 emissions (market based)</t>
  </si>
  <si>
    <t>1.  Green Power location based emission factors apply.</t>
  </si>
  <si>
    <t>2. As of 29 June 2022, Stockland divested its Retirement Living portfolio, with the exception of Affinity Village, WA.</t>
  </si>
  <si>
    <r>
      <t>Scope 3 emissions (tCO</t>
    </r>
    <r>
      <rPr>
        <b/>
        <vertAlign val="subscript"/>
        <sz val="12"/>
        <color rgb="FF0080A6"/>
        <rFont val="Arial"/>
        <family val="2"/>
      </rPr>
      <t>2</t>
    </r>
    <r>
      <rPr>
        <b/>
        <sz val="12"/>
        <color rgb="FF0080A6"/>
        <rFont val="Arial"/>
        <family val="2"/>
      </rPr>
      <t>-e)</t>
    </r>
    <r>
      <rPr>
        <b/>
        <vertAlign val="superscript"/>
        <sz val="12"/>
        <color rgb="FF0080A6"/>
        <rFont val="Arial"/>
        <family val="2"/>
      </rPr>
      <t>1</t>
    </r>
  </si>
  <si>
    <r>
      <t>Scope 3 emissions (tCO</t>
    </r>
    <r>
      <rPr>
        <b/>
        <vertAlign val="subscript"/>
        <sz val="12"/>
        <color theme="2" tint="-0.749992370372631"/>
        <rFont val="Arial"/>
        <family val="2"/>
      </rPr>
      <t>2</t>
    </r>
    <r>
      <rPr>
        <b/>
        <sz val="12"/>
        <color theme="2" tint="-0.749992370372631"/>
        <rFont val="Arial"/>
        <family val="2"/>
      </rPr>
      <t>-e)</t>
    </r>
    <r>
      <rPr>
        <b/>
        <vertAlign val="superscript"/>
        <sz val="12"/>
        <color theme="2" tint="-0.749992370372631"/>
        <rFont val="Arial"/>
        <family val="2"/>
      </rPr>
      <t>1</t>
    </r>
    <r>
      <rPr>
        <b/>
        <sz val="12"/>
        <color theme="2" tint="-0.749992370372631"/>
        <rFont val="Arial"/>
        <family val="2"/>
      </rPr>
      <t xml:space="preserve"> prior to restatement</t>
    </r>
  </si>
  <si>
    <r>
      <t>Total transmission and production losses</t>
    </r>
    <r>
      <rPr>
        <vertAlign val="superscript"/>
        <sz val="8"/>
        <color rgb="FF000000"/>
        <rFont val="Arial"/>
        <family val="2"/>
      </rPr>
      <t>2</t>
    </r>
  </si>
  <si>
    <r>
      <rPr>
        <sz val="8"/>
        <color rgb="FF000000"/>
        <rFont val="Arial"/>
        <family val="2"/>
      </rPr>
      <t>5,158</t>
    </r>
    <r>
      <rPr>
        <vertAlign val="superscript"/>
        <sz val="8"/>
        <color rgb="FF000000"/>
        <rFont val="Arial"/>
        <family val="2"/>
      </rPr>
      <t xml:space="preserve"> 4</t>
    </r>
  </si>
  <si>
    <r>
      <rPr>
        <sz val="8"/>
        <color rgb="FF000000"/>
        <rFont val="Arial"/>
        <family val="2"/>
      </rPr>
      <t>6,109</t>
    </r>
    <r>
      <rPr>
        <vertAlign val="superscript"/>
        <sz val="8"/>
        <color rgb="FF000000"/>
        <rFont val="Arial"/>
        <family val="2"/>
      </rPr>
      <t xml:space="preserve"> 4</t>
    </r>
  </si>
  <si>
    <r>
      <rPr>
        <sz val="8"/>
        <color rgb="FF000000"/>
        <rFont val="Arial"/>
        <family val="2"/>
      </rPr>
      <t xml:space="preserve">6,825 </t>
    </r>
    <r>
      <rPr>
        <vertAlign val="superscript"/>
        <sz val="8"/>
        <color rgb="FF000000"/>
        <rFont val="Arial"/>
        <family val="2"/>
      </rPr>
      <t>4</t>
    </r>
  </si>
  <si>
    <r>
      <rPr>
        <sz val="8"/>
        <color rgb="FF000000"/>
        <rFont val="Arial"/>
        <family val="2"/>
      </rPr>
      <t xml:space="preserve">10,095 </t>
    </r>
    <r>
      <rPr>
        <vertAlign val="superscript"/>
        <sz val="8"/>
        <color rgb="FF000000"/>
        <rFont val="Arial"/>
        <family val="2"/>
      </rPr>
      <t>4</t>
    </r>
  </si>
  <si>
    <r>
      <t>Total transmission and production losses</t>
    </r>
    <r>
      <rPr>
        <vertAlign val="superscript"/>
        <sz val="8"/>
        <color rgb="FF000000"/>
        <rFont val="Arial"/>
        <family val="2"/>
      </rPr>
      <t>3</t>
    </r>
  </si>
  <si>
    <t>Waste disposal</t>
  </si>
  <si>
    <r>
      <t>Vehicle hire and hire car travel</t>
    </r>
    <r>
      <rPr>
        <vertAlign val="superscript"/>
        <sz val="8"/>
        <rFont val="Arial"/>
        <family val="2"/>
      </rPr>
      <t>3</t>
    </r>
  </si>
  <si>
    <r>
      <t>Vehicle hire and hire car travel</t>
    </r>
    <r>
      <rPr>
        <vertAlign val="superscript"/>
        <sz val="8"/>
        <rFont val="Arial"/>
        <family val="2"/>
      </rPr>
      <t>2</t>
    </r>
  </si>
  <si>
    <t>Airline travel</t>
  </si>
  <si>
    <r>
      <t>Airline travel</t>
    </r>
    <r>
      <rPr>
        <vertAlign val="superscript"/>
        <sz val="8"/>
        <color rgb="FF000000"/>
        <rFont val="Arial"/>
        <family val="2"/>
      </rPr>
      <t>1</t>
    </r>
  </si>
  <si>
    <t>1. We are partnering with external consultants to comprehensively model our Scope 3 emissions footprint and develop a decarbonisation strategy comprising our primary emissions drivers. More information on our new Scope 3 reporting boundary will be released in FY23.</t>
  </si>
  <si>
    <t>2. Losses from purchased electricity, gas, water and fleet fuel (excluding Communities contractors outside Stockland's NGERS Op Control boundary).</t>
  </si>
  <si>
    <t>3. One of our town cars providers were unable to provide data in FY22.</t>
  </si>
  <si>
    <t>4. In FY23, a system error was identified where solar energy had been incorrectly recorded historically. In instances where solar generation was greater than Stockland’s common area consumption, the system was inaccurately attributing excess solar energy as negative consumption and not offsetting the tenant consumption. This resulted in reduced scope 2 emissions for certain periods. Where required, Stockland has recalculated and restated its energy consumption and emissions from FY19-FY22. For comparison to prior year statements please see the table to the right.</t>
  </si>
  <si>
    <r>
      <t>Scope 3 emissions (tCO</t>
    </r>
    <r>
      <rPr>
        <b/>
        <vertAlign val="subscript"/>
        <sz val="12"/>
        <color rgb="FF0080A6"/>
        <rFont val="Arial"/>
        <family val="2"/>
      </rPr>
      <t>2</t>
    </r>
    <r>
      <rPr>
        <b/>
        <sz val="12"/>
        <color rgb="FF0080A6"/>
        <rFont val="Arial"/>
        <family val="2"/>
      </rPr>
      <t>-e) - Residential &amp; LLC contractors</t>
    </r>
  </si>
  <si>
    <t>No restatement for scope 3 fuel emissions</t>
  </si>
  <si>
    <r>
      <t>Residential Subdivision Construction Principal Contractors fuel &amp; gas (not in NGERS scope)</t>
    </r>
    <r>
      <rPr>
        <vertAlign val="superscript"/>
        <sz val="8"/>
        <color rgb="FF000000"/>
        <rFont val="Arial"/>
        <family val="2"/>
      </rPr>
      <t>1</t>
    </r>
  </si>
  <si>
    <r>
      <rPr>
        <sz val="8"/>
        <color rgb="FF000000"/>
        <rFont val="Arial"/>
        <family val="2"/>
      </rPr>
      <t>LLC contractors fuel &amp; gas (not in NGERS scope)</t>
    </r>
    <r>
      <rPr>
        <vertAlign val="superscript"/>
        <sz val="8"/>
        <color rgb="FF000000"/>
        <rFont val="Arial"/>
        <family val="2"/>
      </rPr>
      <t>2</t>
    </r>
  </si>
  <si>
    <t>1. The Scope 1 emissions generated by our Residential Subdivision Construction Principal Contractors were re-categorised as Scope 3 emissions in FY22 due to third party advice regarding our reporting obligations under the National Greenhouse and Energy Reporting Act 2007.</t>
  </si>
  <si>
    <t>2. This includes LLC contractors fuel, gas &amp; electricity that are not within Stockland's NGERS reporting boundary</t>
  </si>
  <si>
    <r>
      <t>Greenhouse gas emissions intensity (kgCO2-e/m2)</t>
    </r>
    <r>
      <rPr>
        <b/>
        <vertAlign val="superscript"/>
        <sz val="12"/>
        <color rgb="FF0080A6"/>
        <rFont val="Arial"/>
        <family val="2"/>
      </rPr>
      <t>1</t>
    </r>
  </si>
  <si>
    <r>
      <t>Greenhouse gas emissions intensity (kgCO2-e/m2)</t>
    </r>
    <r>
      <rPr>
        <b/>
        <vertAlign val="superscript"/>
        <sz val="12"/>
        <color theme="2" tint="-0.749992370372631"/>
        <rFont val="Arial"/>
        <family val="2"/>
      </rPr>
      <t>1</t>
    </r>
    <r>
      <rPr>
        <b/>
        <sz val="12"/>
        <color theme="2" tint="-0.749992370372631"/>
        <rFont val="Arial"/>
        <family val="2"/>
      </rPr>
      <t xml:space="preserve"> prior to restatement</t>
    </r>
  </si>
  <si>
    <r>
      <t>Workplace (base buildings)</t>
    </r>
    <r>
      <rPr>
        <b/>
        <vertAlign val="superscript"/>
        <sz val="8"/>
        <color rgb="FF000000"/>
        <rFont val="Arial"/>
        <family val="2"/>
      </rPr>
      <t>2</t>
    </r>
  </si>
  <si>
    <r>
      <t>Workplace (base buildings)</t>
    </r>
    <r>
      <rPr>
        <b/>
        <vertAlign val="superscript"/>
        <sz val="8"/>
        <color rgb="FF000000"/>
        <rFont val="Arial"/>
        <family val="2"/>
      </rPr>
      <t>1</t>
    </r>
  </si>
  <si>
    <r>
      <t>Floor area (NLA) of buildings in intensity metric (m</t>
    </r>
    <r>
      <rPr>
        <vertAlign val="superscript"/>
        <sz val="8"/>
        <color rgb="FF000000"/>
        <rFont val="Arial"/>
        <family val="2"/>
      </rPr>
      <t>2</t>
    </r>
    <r>
      <rPr>
        <sz val="8"/>
        <color rgb="FF000000"/>
        <rFont val="Arial"/>
        <family val="2"/>
      </rPr>
      <t>)</t>
    </r>
  </si>
  <si>
    <r>
      <t xml:space="preserve">320,943 </t>
    </r>
    <r>
      <rPr>
        <vertAlign val="superscript"/>
        <sz val="8"/>
        <color rgb="FF000000"/>
        <rFont val="Arial"/>
        <family val="2"/>
      </rPr>
      <t>1</t>
    </r>
  </si>
  <si>
    <t>% portfolio in intensity metric</t>
  </si>
  <si>
    <t>Emissions intensity</t>
  </si>
  <si>
    <t>Percentage reductions (Workplace)</t>
  </si>
  <si>
    <t>Town Centres (base buildings)</t>
  </si>
  <si>
    <r>
      <t>Floor area (GLA) of buildings in intensity metric (m</t>
    </r>
    <r>
      <rPr>
        <vertAlign val="superscript"/>
        <sz val="8"/>
        <color rgb="FF000000"/>
        <rFont val="Arial"/>
        <family val="2"/>
      </rPr>
      <t>2</t>
    </r>
    <r>
      <rPr>
        <sz val="8"/>
        <color rgb="FF000000"/>
        <rFont val="Arial"/>
        <family val="2"/>
      </rPr>
      <t>)</t>
    </r>
  </si>
  <si>
    <r>
      <t xml:space="preserve">33.64 </t>
    </r>
    <r>
      <rPr>
        <b/>
        <vertAlign val="superscript"/>
        <sz val="8"/>
        <color rgb="FF000000"/>
        <rFont val="Arial"/>
        <family val="2"/>
      </rPr>
      <t>4</t>
    </r>
  </si>
  <si>
    <r>
      <t xml:space="preserve">32.16 </t>
    </r>
    <r>
      <rPr>
        <b/>
        <vertAlign val="superscript"/>
        <sz val="8"/>
        <color rgb="FF000000"/>
        <rFont val="Arial"/>
        <family val="2"/>
      </rPr>
      <t>4</t>
    </r>
  </si>
  <si>
    <r>
      <t xml:space="preserve">33.34 </t>
    </r>
    <r>
      <rPr>
        <b/>
        <vertAlign val="superscript"/>
        <sz val="8"/>
        <color rgb="FF000000"/>
        <rFont val="Arial"/>
        <family val="2"/>
      </rPr>
      <t>4</t>
    </r>
  </si>
  <si>
    <r>
      <t xml:space="preserve">42.36 </t>
    </r>
    <r>
      <rPr>
        <b/>
        <vertAlign val="superscript"/>
        <sz val="8"/>
        <color rgb="FF000000"/>
        <rFont val="Arial"/>
        <family val="2"/>
      </rPr>
      <t>4</t>
    </r>
  </si>
  <si>
    <t>Percentage reductions (Town Centre)</t>
  </si>
  <si>
    <r>
      <t>Commercial Property (total)</t>
    </r>
    <r>
      <rPr>
        <b/>
        <vertAlign val="superscript"/>
        <sz val="8"/>
        <color rgb="FF000000"/>
        <rFont val="Arial"/>
        <family val="2"/>
      </rPr>
      <t>3</t>
    </r>
  </si>
  <si>
    <r>
      <t>Commercial Property (total)</t>
    </r>
    <r>
      <rPr>
        <b/>
        <vertAlign val="superscript"/>
        <sz val="8"/>
        <color rgb="FF000000"/>
        <rFont val="Arial"/>
        <family val="2"/>
      </rPr>
      <t>2</t>
    </r>
  </si>
  <si>
    <r>
      <t>Floor area of buildings in intensity metric (m</t>
    </r>
    <r>
      <rPr>
        <vertAlign val="superscript"/>
        <sz val="8"/>
        <color rgb="FF000000"/>
        <rFont val="Arial"/>
        <family val="2"/>
      </rPr>
      <t>2</t>
    </r>
    <r>
      <rPr>
        <sz val="8"/>
        <color rgb="FF000000"/>
        <rFont val="Arial"/>
        <family val="2"/>
      </rPr>
      <t>)</t>
    </r>
  </si>
  <si>
    <r>
      <t xml:space="preserve">34.96 </t>
    </r>
    <r>
      <rPr>
        <b/>
        <vertAlign val="superscript"/>
        <sz val="8"/>
        <color rgb="FF000000"/>
        <rFont val="Arial"/>
        <family val="2"/>
      </rPr>
      <t>4</t>
    </r>
  </si>
  <si>
    <r>
      <t xml:space="preserve">35.73 </t>
    </r>
    <r>
      <rPr>
        <b/>
        <vertAlign val="superscript"/>
        <sz val="8"/>
        <color rgb="FF000000"/>
        <rFont val="Arial"/>
        <family val="2"/>
      </rPr>
      <t>4</t>
    </r>
  </si>
  <si>
    <r>
      <t xml:space="preserve">37.62 </t>
    </r>
    <r>
      <rPr>
        <b/>
        <vertAlign val="superscript"/>
        <sz val="8"/>
        <color rgb="FF000000"/>
        <rFont val="Arial"/>
        <family val="2"/>
      </rPr>
      <t>4</t>
    </r>
  </si>
  <si>
    <r>
      <t xml:space="preserve">46.41 </t>
    </r>
    <r>
      <rPr>
        <b/>
        <vertAlign val="superscript"/>
        <sz val="8"/>
        <color rgb="FF000000"/>
        <rFont val="Arial"/>
        <family val="2"/>
      </rPr>
      <t>4</t>
    </r>
  </si>
  <si>
    <t>Percentage reductions (Commercial Property)</t>
  </si>
  <si>
    <t>1. Based on scope 1 and 2 emissions, excluding all refrigerants.</t>
  </si>
  <si>
    <t>1. Area-weighted intensity of Workplace assets.</t>
  </si>
  <si>
    <t>2. Area-weighted intensity of Workplace assets.</t>
  </si>
  <si>
    <t>2. Combined Workplace and Town Centres.</t>
  </si>
  <si>
    <t>3. Combined Workplace and Town Centres.</t>
  </si>
  <si>
    <t>3. Based on scope 1 and 2 emissions, excluding all refrigerants.</t>
  </si>
  <si>
    <t>Emissions by business unit</t>
  </si>
  <si>
    <t>Scope 1 emissions by business unit</t>
  </si>
  <si>
    <t xml:space="preserve">Residential </t>
  </si>
  <si>
    <t xml:space="preserve">Retirement Living </t>
  </si>
  <si>
    <t>Land Lease Communities</t>
  </si>
  <si>
    <t xml:space="preserve">Corporate </t>
  </si>
  <si>
    <t>Scope 2 emissions by business unit</t>
  </si>
  <si>
    <t>ENERGY CONSUMPTION</t>
  </si>
  <si>
    <t>ESG data pack with no footnotes</t>
  </si>
  <si>
    <t>Energy consumption</t>
  </si>
  <si>
    <t>Energy consumption prior to restatement</t>
  </si>
  <si>
    <t>Total energy consumption by portfolio area (GJ)</t>
  </si>
  <si>
    <t>Workplace (base buildings)</t>
  </si>
  <si>
    <r>
      <t>Corporate offices (incl. corporate travel)</t>
    </r>
    <r>
      <rPr>
        <vertAlign val="superscript"/>
        <sz val="8"/>
        <color rgb="FF000000"/>
        <rFont val="Arial"/>
        <family val="2"/>
      </rPr>
      <t>1</t>
    </r>
  </si>
  <si>
    <r>
      <t>Corporate offices (incl. corporate travel)</t>
    </r>
    <r>
      <rPr>
        <vertAlign val="superscript"/>
        <sz val="8"/>
        <color rgb="FF000000"/>
        <rFont val="Arial"/>
        <family val="2"/>
      </rPr>
      <t>2</t>
    </r>
  </si>
  <si>
    <t>Logistics</t>
  </si>
  <si>
    <r>
      <rPr>
        <sz val="8"/>
        <color rgb="FF000000"/>
        <rFont val="Arial"/>
        <family val="2"/>
      </rPr>
      <t xml:space="preserve">4,093 </t>
    </r>
    <r>
      <rPr>
        <vertAlign val="superscript"/>
        <sz val="8"/>
        <color rgb="FF000000"/>
        <rFont val="Arial"/>
        <family val="2"/>
      </rPr>
      <t>4</t>
    </r>
  </si>
  <si>
    <r>
      <rPr>
        <sz val="8"/>
        <color rgb="FF000000"/>
        <rFont val="Arial"/>
        <family val="2"/>
      </rPr>
      <t xml:space="preserve">4,928 </t>
    </r>
    <r>
      <rPr>
        <vertAlign val="superscript"/>
        <sz val="8"/>
        <color rgb="FF000000"/>
        <rFont val="Arial"/>
        <family val="2"/>
      </rPr>
      <t>4</t>
    </r>
  </si>
  <si>
    <r>
      <rPr>
        <sz val="8"/>
        <color rgb="FF000000"/>
        <rFont val="Arial"/>
        <family val="2"/>
      </rPr>
      <t xml:space="preserve">5,615 </t>
    </r>
    <r>
      <rPr>
        <vertAlign val="superscript"/>
        <sz val="8"/>
        <color rgb="FF000000"/>
        <rFont val="Arial"/>
        <family val="2"/>
      </rPr>
      <t>4</t>
    </r>
  </si>
  <si>
    <r>
      <rPr>
        <sz val="8"/>
        <color rgb="FF000000"/>
        <rFont val="Arial"/>
        <family val="2"/>
      </rPr>
      <t xml:space="preserve">8,009 </t>
    </r>
    <r>
      <rPr>
        <vertAlign val="superscript"/>
        <sz val="8"/>
        <color rgb="FF000000"/>
        <rFont val="Arial"/>
        <family val="2"/>
      </rPr>
      <t>4</t>
    </r>
  </si>
  <si>
    <t>Town Centres</t>
  </si>
  <si>
    <r>
      <rPr>
        <sz val="8"/>
        <color rgb="FF000000"/>
        <rFont val="Arial"/>
        <family val="2"/>
      </rPr>
      <t xml:space="preserve">198,900 </t>
    </r>
    <r>
      <rPr>
        <vertAlign val="superscript"/>
        <sz val="8"/>
        <color rgb="FF000000"/>
        <rFont val="Arial"/>
        <family val="2"/>
      </rPr>
      <t>4</t>
    </r>
  </si>
  <si>
    <r>
      <rPr>
        <sz val="8"/>
        <color rgb="FF000000"/>
        <rFont val="Arial"/>
        <family val="2"/>
      </rPr>
      <t xml:space="preserve">214,150 </t>
    </r>
    <r>
      <rPr>
        <vertAlign val="superscript"/>
        <sz val="8"/>
        <color rgb="FF000000"/>
        <rFont val="Arial"/>
        <family val="2"/>
      </rPr>
      <t>4</t>
    </r>
  </si>
  <si>
    <r>
      <rPr>
        <sz val="8"/>
        <color rgb="FF000000"/>
        <rFont val="Arial"/>
        <family val="2"/>
      </rPr>
      <t xml:space="preserve">243,437 </t>
    </r>
    <r>
      <rPr>
        <vertAlign val="superscript"/>
        <sz val="8"/>
        <color rgb="FF000000"/>
        <rFont val="Arial"/>
        <family val="2"/>
      </rPr>
      <t>4</t>
    </r>
  </si>
  <si>
    <r>
      <rPr>
        <sz val="8"/>
        <color rgb="FF000000"/>
        <rFont val="Arial"/>
        <family val="2"/>
      </rPr>
      <t xml:space="preserve">262,697 </t>
    </r>
    <r>
      <rPr>
        <vertAlign val="superscript"/>
        <sz val="8"/>
        <color rgb="FF000000"/>
        <rFont val="Arial"/>
        <family val="2"/>
      </rPr>
      <t>4</t>
    </r>
  </si>
  <si>
    <t>Residential sites</t>
  </si>
  <si>
    <r>
      <t>Retirement Living</t>
    </r>
    <r>
      <rPr>
        <vertAlign val="superscript"/>
        <sz val="8"/>
        <color rgb="FF000000"/>
        <rFont val="Arial"/>
        <family val="2"/>
      </rPr>
      <t>3</t>
    </r>
  </si>
  <si>
    <r>
      <t>Land Lease Communities</t>
    </r>
    <r>
      <rPr>
        <vertAlign val="superscript"/>
        <sz val="8"/>
        <color rgb="FF000000"/>
        <rFont val="Arial"/>
        <family val="2"/>
      </rPr>
      <t>2</t>
    </r>
  </si>
  <si>
    <r>
      <t>Land Lease Communities</t>
    </r>
    <r>
      <rPr>
        <vertAlign val="superscript"/>
        <sz val="8"/>
        <color rgb="FF000000"/>
        <rFont val="Arial"/>
        <family val="2"/>
      </rPr>
      <t>1</t>
    </r>
  </si>
  <si>
    <t>1. Corporate travel relates to direct procurement of fuel related to rental cars or operational fleet vehicles.</t>
  </si>
  <si>
    <t>2. Includes energy consumed by Halcyon Constructions Queensland only. All other contractors fall under Scope 3 emissions.</t>
  </si>
  <si>
    <t>3. As of 29 June 2022, Stockland divested its Retirement Living portfolio, with the exception of Affinity Village, WA.</t>
  </si>
  <si>
    <t>Electricity consumption</t>
  </si>
  <si>
    <t>Electricity consumption prior to restatement</t>
  </si>
  <si>
    <t>Electricity consumption (kWh) - by portfolio area</t>
  </si>
  <si>
    <t>Corporate tenancies</t>
  </si>
  <si>
    <r>
      <rPr>
        <sz val="8"/>
        <color rgb="FF000000"/>
        <rFont val="Arial"/>
        <family val="2"/>
      </rPr>
      <t xml:space="preserve">335,360 </t>
    </r>
    <r>
      <rPr>
        <vertAlign val="superscript"/>
        <sz val="8"/>
        <color rgb="FF000000"/>
        <rFont val="Arial"/>
        <family val="2"/>
      </rPr>
      <t>5</t>
    </r>
  </si>
  <si>
    <r>
      <rPr>
        <sz val="8"/>
        <color rgb="FF000000"/>
        <rFont val="Arial"/>
        <family val="2"/>
      </rPr>
      <t xml:space="preserve">496,736 </t>
    </r>
    <r>
      <rPr>
        <vertAlign val="superscript"/>
        <sz val="8"/>
        <color rgb="FF000000"/>
        <rFont val="Arial"/>
        <family val="2"/>
      </rPr>
      <t>5</t>
    </r>
  </si>
  <si>
    <r>
      <rPr>
        <sz val="8"/>
        <color rgb="FF000000"/>
        <rFont val="Arial"/>
        <family val="2"/>
      </rPr>
      <t xml:space="preserve">1,513,228 </t>
    </r>
    <r>
      <rPr>
        <vertAlign val="superscript"/>
        <sz val="8"/>
        <color rgb="FF000000"/>
        <rFont val="Arial"/>
        <family val="2"/>
      </rPr>
      <t>5</t>
    </r>
  </si>
  <si>
    <r>
      <rPr>
        <sz val="8"/>
        <color rgb="FF000000"/>
        <rFont val="Arial"/>
        <family val="2"/>
      </rPr>
      <t xml:space="preserve">2,224,819 </t>
    </r>
    <r>
      <rPr>
        <vertAlign val="superscript"/>
        <sz val="8"/>
        <color rgb="FF000000"/>
        <rFont val="Arial"/>
        <family val="2"/>
      </rPr>
      <t>5</t>
    </r>
  </si>
  <si>
    <r>
      <t xml:space="preserve">36,049,499 </t>
    </r>
    <r>
      <rPr>
        <vertAlign val="superscript"/>
        <sz val="8"/>
        <color rgb="FF000000"/>
        <rFont val="Arial"/>
        <family val="2"/>
      </rPr>
      <t>5</t>
    </r>
  </si>
  <si>
    <r>
      <rPr>
        <sz val="8"/>
        <color rgb="FF000000"/>
        <rFont val="Arial"/>
        <family val="2"/>
      </rPr>
      <t xml:space="preserve">36,719,320 </t>
    </r>
    <r>
      <rPr>
        <vertAlign val="superscript"/>
        <sz val="8"/>
        <color rgb="FF000000"/>
        <rFont val="Arial"/>
        <family val="2"/>
      </rPr>
      <t>5</t>
    </r>
  </si>
  <si>
    <r>
      <rPr>
        <sz val="8"/>
        <color rgb="FF000000"/>
        <rFont val="Arial"/>
        <family val="2"/>
      </rPr>
      <t xml:space="preserve">39,317,479 </t>
    </r>
    <r>
      <rPr>
        <vertAlign val="superscript"/>
        <sz val="8"/>
        <color rgb="FF000000"/>
        <rFont val="Arial"/>
        <family val="2"/>
      </rPr>
      <t>5</t>
    </r>
  </si>
  <si>
    <r>
      <rPr>
        <sz val="8"/>
        <color rgb="FF000000"/>
        <rFont val="Arial"/>
        <family val="2"/>
      </rPr>
      <t xml:space="preserve">52,130,303 </t>
    </r>
    <r>
      <rPr>
        <vertAlign val="superscript"/>
        <sz val="8"/>
        <color rgb="FF000000"/>
        <rFont val="Arial"/>
        <family val="2"/>
      </rPr>
      <t>5</t>
    </r>
  </si>
  <si>
    <r>
      <t>Residential sites</t>
    </r>
    <r>
      <rPr>
        <vertAlign val="superscript"/>
        <sz val="8"/>
        <color rgb="FF000000"/>
        <rFont val="Arial"/>
        <family val="2"/>
      </rPr>
      <t>2</t>
    </r>
  </si>
  <si>
    <r>
      <t>Residential (contractors)</t>
    </r>
    <r>
      <rPr>
        <vertAlign val="superscript"/>
        <sz val="8"/>
        <color rgb="FF000000"/>
        <rFont val="Arial"/>
        <family val="2"/>
      </rPr>
      <t>3</t>
    </r>
  </si>
  <si>
    <r>
      <t>Retirement Living</t>
    </r>
    <r>
      <rPr>
        <vertAlign val="superscript"/>
        <sz val="8"/>
        <color rgb="FF000000"/>
        <rFont val="Arial"/>
        <family val="2"/>
      </rPr>
      <t>4</t>
    </r>
  </si>
  <si>
    <r>
      <t>Retirement Living (contractors)</t>
    </r>
    <r>
      <rPr>
        <vertAlign val="superscript"/>
        <sz val="8"/>
        <color rgb="FF000000"/>
        <rFont val="Arial"/>
        <family val="2"/>
      </rPr>
      <t>1</t>
    </r>
  </si>
  <si>
    <t>Land Lease Communities (contractors)</t>
  </si>
  <si>
    <t>Year on year</t>
  </si>
  <si>
    <t>Electricity consumption (kWh) - by source</t>
  </si>
  <si>
    <t>Grid Purchased Electricity</t>
  </si>
  <si>
    <r>
      <rPr>
        <sz val="8"/>
        <color rgb="FF000000"/>
        <rFont val="Arial"/>
        <family val="2"/>
      </rPr>
      <t xml:space="preserve">58,335,942 </t>
    </r>
    <r>
      <rPr>
        <vertAlign val="superscript"/>
        <sz val="8"/>
        <color rgb="FF000000"/>
        <rFont val="Arial"/>
        <family val="2"/>
      </rPr>
      <t>5</t>
    </r>
  </si>
  <si>
    <r>
      <rPr>
        <sz val="8"/>
        <color rgb="FF000000"/>
        <rFont val="Arial"/>
        <family val="2"/>
      </rPr>
      <t xml:space="preserve">60,337,704 </t>
    </r>
    <r>
      <rPr>
        <vertAlign val="superscript"/>
        <sz val="8"/>
        <color rgb="FF000000"/>
        <rFont val="Arial"/>
        <family val="2"/>
      </rPr>
      <t>5</t>
    </r>
  </si>
  <si>
    <r>
      <rPr>
        <sz val="8"/>
        <color rgb="FF000000"/>
        <rFont val="Arial"/>
        <family val="2"/>
      </rPr>
      <t xml:space="preserve">66,110,698 </t>
    </r>
    <r>
      <rPr>
        <vertAlign val="superscript"/>
        <sz val="8"/>
        <color rgb="FF000000"/>
        <rFont val="Arial"/>
        <family val="2"/>
      </rPr>
      <t>5</t>
    </r>
  </si>
  <si>
    <r>
      <rPr>
        <sz val="8"/>
        <color rgb="FF000000"/>
        <rFont val="Arial"/>
        <family val="2"/>
      </rPr>
      <t xml:space="preserve">84,162,049 </t>
    </r>
    <r>
      <rPr>
        <vertAlign val="superscript"/>
        <sz val="8"/>
        <color rgb="FF000000"/>
        <rFont val="Arial"/>
        <family val="2"/>
      </rPr>
      <t>5</t>
    </r>
  </si>
  <si>
    <r>
      <rPr>
        <sz val="8"/>
        <color rgb="FF000000"/>
        <rFont val="Arial"/>
        <family val="2"/>
      </rPr>
      <t xml:space="preserve">10,873,820 </t>
    </r>
    <r>
      <rPr>
        <vertAlign val="superscript"/>
        <sz val="8"/>
        <color rgb="FF000000"/>
        <rFont val="Arial"/>
        <family val="2"/>
      </rPr>
      <t>5</t>
    </r>
  </si>
  <si>
    <r>
      <rPr>
        <sz val="8"/>
        <color rgb="FF000000"/>
        <rFont val="Arial"/>
        <family val="2"/>
      </rPr>
      <t xml:space="preserve">11,186,610 </t>
    </r>
    <r>
      <rPr>
        <vertAlign val="superscript"/>
        <sz val="8"/>
        <color rgb="FF000000"/>
        <rFont val="Arial"/>
        <family val="2"/>
      </rPr>
      <t>5</t>
    </r>
  </si>
  <si>
    <r>
      <rPr>
        <sz val="8"/>
        <color rgb="FF000000"/>
        <rFont val="Arial"/>
        <family val="2"/>
      </rPr>
      <t xml:space="preserve">12,561,033 </t>
    </r>
    <r>
      <rPr>
        <vertAlign val="superscript"/>
        <sz val="8"/>
        <color rgb="FF000000"/>
        <rFont val="Arial"/>
        <family val="2"/>
      </rPr>
      <t>5</t>
    </r>
  </si>
  <si>
    <r>
      <rPr>
        <sz val="8"/>
        <color rgb="FF000000"/>
        <rFont val="Arial"/>
        <family val="2"/>
      </rPr>
      <t xml:space="preserve">15,990,789 </t>
    </r>
    <r>
      <rPr>
        <vertAlign val="superscript"/>
        <sz val="8"/>
        <color rgb="FF000000"/>
        <rFont val="Arial"/>
        <family val="2"/>
      </rPr>
      <t>5</t>
    </r>
  </si>
  <si>
    <t>Renewables (Self-generated, consumed onsite and produce LGCs)</t>
  </si>
  <si>
    <r>
      <rPr>
        <sz val="8"/>
        <color rgb="FF000000"/>
        <rFont val="Arial"/>
        <family val="2"/>
      </rPr>
      <t xml:space="preserve">17,265,793 </t>
    </r>
    <r>
      <rPr>
        <vertAlign val="superscript"/>
        <sz val="8"/>
        <color rgb="FF000000"/>
        <rFont val="Arial"/>
        <family val="2"/>
      </rPr>
      <t>5</t>
    </r>
  </si>
  <si>
    <r>
      <rPr>
        <sz val="8"/>
        <color rgb="FF000000"/>
        <rFont val="Arial"/>
        <family val="2"/>
      </rPr>
      <t xml:space="preserve">22,031,696 </t>
    </r>
    <r>
      <rPr>
        <vertAlign val="superscript"/>
        <sz val="8"/>
        <color rgb="FF000000"/>
        <rFont val="Arial"/>
        <family val="2"/>
      </rPr>
      <t>5</t>
    </r>
  </si>
  <si>
    <r>
      <rPr>
        <sz val="8"/>
        <color rgb="FF000000"/>
        <rFont val="Arial"/>
        <family val="2"/>
      </rPr>
      <t xml:space="preserve">22,234,303 </t>
    </r>
    <r>
      <rPr>
        <vertAlign val="superscript"/>
        <sz val="8"/>
        <color rgb="FF000000"/>
        <rFont val="Arial"/>
        <family val="2"/>
      </rPr>
      <t>5</t>
    </r>
  </si>
  <si>
    <r>
      <rPr>
        <sz val="8"/>
        <color rgb="FF000000"/>
        <rFont val="Arial"/>
        <family val="2"/>
      </rPr>
      <t xml:space="preserve">12,427,441 </t>
    </r>
    <r>
      <rPr>
        <vertAlign val="superscript"/>
        <sz val="8"/>
        <color rgb="FF000000"/>
        <rFont val="Arial"/>
        <family val="2"/>
      </rPr>
      <t>5</t>
    </r>
  </si>
  <si>
    <t>Renewables (Self-generated, consumed onsite and no LGCs )</t>
  </si>
  <si>
    <t>Grid (Brown)</t>
  </si>
  <si>
    <t>1. No development works in our Retirement Living business were considered to be within our operational control boundary from FY18.</t>
  </si>
  <si>
    <t>2. Totals equal grid electricity (GJ) / (electricity + on-site generators consuming diesel) . Efficiency of generators estimated at 30%.</t>
  </si>
  <si>
    <t>3. The electricity consumed by our Residential contractors have been removed from our reporting boundary in FY22 due to advice obtained third-party advice regarding our obligations under the National Greenhouse and Energy Reporting. The emissions associated with these activities have been re-categorised from Scope 1 emissions to Scope 3 emissions.</t>
  </si>
  <si>
    <t>4. As of 29 June 2022, Stockland divested its Retirement Living portfolio, with the exception of Affinity Village, WA.</t>
  </si>
  <si>
    <t>5. In FY23, a system error was identified where solar energy had been incorrectly recorded historically. In instances where solar generation was greater than Stockland’s common area consumption, the system was inaccurately attributing excess solar energy as negative consumption and not offsetting the tenant consumption. This resulted in reduced scope 2 emissions for certain periods. Where required, Stockland has recalculated and restated its energy consumption and emissions from FY19-FY22. For comparison to prior year statements please see the table to the right.</t>
  </si>
  <si>
    <r>
      <t>Purchased electricity intensity (kWh/m</t>
    </r>
    <r>
      <rPr>
        <b/>
        <vertAlign val="superscript"/>
        <sz val="8"/>
        <color rgb="FF0080A6"/>
        <rFont val="Arial"/>
        <family val="2"/>
      </rPr>
      <t>2</t>
    </r>
    <r>
      <rPr>
        <b/>
        <sz val="8"/>
        <color rgb="FF0080A6"/>
        <rFont val="Arial"/>
        <family val="2"/>
      </rPr>
      <t>)</t>
    </r>
  </si>
  <si>
    <r>
      <t>Purchased electricity intensity (kWh/m</t>
    </r>
    <r>
      <rPr>
        <b/>
        <vertAlign val="superscript"/>
        <sz val="8"/>
        <color theme="2" tint="-0.749992370372631"/>
        <rFont val="Arial"/>
        <family val="2"/>
      </rPr>
      <t>2</t>
    </r>
    <r>
      <rPr>
        <b/>
        <sz val="8"/>
        <color theme="2" tint="-0.749992370372631"/>
        <rFont val="Arial"/>
        <family val="2"/>
      </rPr>
      <t>)</t>
    </r>
    <r>
      <rPr>
        <b/>
        <sz val="12"/>
        <color theme="2" tint="-0.749992370372631"/>
        <rFont val="Arial"/>
        <family val="2"/>
      </rPr>
      <t xml:space="preserve"> prior to restatement</t>
    </r>
  </si>
  <si>
    <r>
      <t>Floor area (NLA) of buildings in intensity metric (m2)</t>
    </r>
    <r>
      <rPr>
        <vertAlign val="superscript"/>
        <sz val="8"/>
        <color theme="1"/>
        <rFont val="Arial"/>
        <family val="2"/>
      </rPr>
      <t>1</t>
    </r>
  </si>
  <si>
    <t>% of portfolio covered in intensity metric</t>
  </si>
  <si>
    <t>Like-for-like percentage change</t>
  </si>
  <si>
    <r>
      <t xml:space="preserve">42.02 </t>
    </r>
    <r>
      <rPr>
        <b/>
        <vertAlign val="superscript"/>
        <sz val="8"/>
        <color rgb="FF000000"/>
        <rFont val="Arial"/>
        <family val="2"/>
      </rPr>
      <t>3</t>
    </r>
  </si>
  <si>
    <r>
      <t xml:space="preserve">39.2 </t>
    </r>
    <r>
      <rPr>
        <b/>
        <vertAlign val="superscript"/>
        <sz val="8"/>
        <color rgb="FF000000"/>
        <rFont val="Arial"/>
        <family val="2"/>
      </rPr>
      <t>3</t>
    </r>
  </si>
  <si>
    <r>
      <t xml:space="preserve">39.55 </t>
    </r>
    <r>
      <rPr>
        <b/>
        <vertAlign val="superscript"/>
        <sz val="8"/>
        <color rgb="FF000000"/>
        <rFont val="Arial"/>
        <family val="2"/>
      </rPr>
      <t>3</t>
    </r>
  </si>
  <si>
    <r>
      <t xml:space="preserve">49.3 </t>
    </r>
    <r>
      <rPr>
        <b/>
        <vertAlign val="superscript"/>
        <sz val="8"/>
        <color rgb="FF000000"/>
        <rFont val="Arial"/>
        <family val="2"/>
      </rPr>
      <t>3</t>
    </r>
  </si>
  <si>
    <r>
      <t>Commercial Property</t>
    </r>
    <r>
      <rPr>
        <b/>
        <vertAlign val="superscript"/>
        <sz val="8"/>
        <color rgb="FF000000"/>
        <rFont val="Arial"/>
        <family val="2"/>
      </rPr>
      <t>2</t>
    </r>
  </si>
  <si>
    <r>
      <t>Floor area of buildings in intensity metric (m</t>
    </r>
    <r>
      <rPr>
        <vertAlign val="superscript"/>
        <sz val="8"/>
        <color rgb="FF000000"/>
        <rFont val="Arial"/>
        <family val="2"/>
      </rPr>
      <t>2</t>
    </r>
    <r>
      <rPr>
        <sz val="8"/>
        <color rgb="FF000000"/>
        <rFont val="Arial"/>
        <family val="2"/>
      </rPr>
      <t xml:space="preserve">) </t>
    </r>
  </si>
  <si>
    <r>
      <t xml:space="preserve">41.97 </t>
    </r>
    <r>
      <rPr>
        <b/>
        <vertAlign val="superscript"/>
        <sz val="8"/>
        <color rgb="FF000000"/>
        <rFont val="Arial"/>
        <family val="2"/>
      </rPr>
      <t>3</t>
    </r>
  </si>
  <si>
    <r>
      <t xml:space="preserve">40.48 </t>
    </r>
    <r>
      <rPr>
        <b/>
        <vertAlign val="superscript"/>
        <sz val="8"/>
        <color rgb="FF000000"/>
        <rFont val="Arial"/>
        <family val="2"/>
      </rPr>
      <t>3</t>
    </r>
  </si>
  <si>
    <r>
      <t xml:space="preserve">43.78 </t>
    </r>
    <r>
      <rPr>
        <b/>
        <vertAlign val="superscript"/>
        <sz val="8"/>
        <color rgb="FF000000"/>
        <rFont val="Arial"/>
        <family val="2"/>
      </rPr>
      <t>3</t>
    </r>
  </si>
  <si>
    <r>
      <t xml:space="preserve">53.83 </t>
    </r>
    <r>
      <rPr>
        <b/>
        <vertAlign val="superscript"/>
        <sz val="8"/>
        <color rgb="FF000000"/>
        <rFont val="Arial"/>
        <family val="2"/>
      </rPr>
      <t>3</t>
    </r>
  </si>
  <si>
    <t>1. NLA – Net Lettable Area; GLA – Gross Lettable Area.  </t>
  </si>
  <si>
    <t>2. Area-weighted intensity combination of Commercial Property assets excluding Logistics.</t>
  </si>
  <si>
    <r>
      <t>Renewables Consumption</t>
    </r>
    <r>
      <rPr>
        <b/>
        <vertAlign val="superscript"/>
        <sz val="12"/>
        <color rgb="FF0080A6"/>
        <rFont val="Arial"/>
        <family val="2"/>
      </rPr>
      <t>3</t>
    </r>
  </si>
  <si>
    <t>Solar consumption (kWh)</t>
  </si>
  <si>
    <t>Percentage of portfolio electricity usage</t>
  </si>
  <si>
    <t>Solar capacity installed (at 30 June) (kW)</t>
  </si>
  <si>
    <t>Workplace</t>
  </si>
  <si>
    <t>Percentage of portfolio electricity usage (CP total)</t>
  </si>
  <si>
    <r>
      <t>Retirement Living</t>
    </r>
    <r>
      <rPr>
        <b/>
        <vertAlign val="superscript"/>
        <sz val="8"/>
        <color rgb="FF000000"/>
        <rFont val="Arial"/>
        <family val="2"/>
      </rPr>
      <t>1</t>
    </r>
  </si>
  <si>
    <t>Per cent of portfolio electricity usage</t>
  </si>
  <si>
    <t>Per cent of Workplace portfolio electricity usage</t>
  </si>
  <si>
    <t>1. As of 29 June 2022, Stockland divested its Retirement Living portfolio, with the exception of Affinity Village, WA.</t>
  </si>
  <si>
    <t>2. Previous years this section reported solar generation, in FY23 this section reports solar consumption by Stockland Assets from FY19 onwards</t>
  </si>
  <si>
    <t>Gas and fuel consumption</t>
  </si>
  <si>
    <t>Gas consumption (MJ)</t>
  </si>
  <si>
    <t>Residential (contractors)</t>
  </si>
  <si>
    <r>
      <t>Retirement Living</t>
    </r>
    <r>
      <rPr>
        <vertAlign val="superscript"/>
        <sz val="8"/>
        <color theme="1"/>
        <rFont val="Arial"/>
        <family val="2"/>
      </rPr>
      <t>1,3</t>
    </r>
  </si>
  <si>
    <t>Retirement Living (contractors)</t>
  </si>
  <si>
    <t>Land Lease Communities (Contractors)</t>
  </si>
  <si>
    <r>
      <t>Fuel consumption</t>
    </r>
    <r>
      <rPr>
        <b/>
        <vertAlign val="superscript"/>
        <sz val="8"/>
        <color rgb="FF000000"/>
        <rFont val="Arial"/>
        <family val="2"/>
      </rPr>
      <t>2</t>
    </r>
  </si>
  <si>
    <t>Diesel (L)</t>
  </si>
  <si>
    <t>Bio diesel (L)</t>
  </si>
  <si>
    <t>Petrol (L)</t>
  </si>
  <si>
    <t>Ethanol (L)</t>
  </si>
  <si>
    <t>LPG (L)</t>
  </si>
  <si>
    <t>Oil (L)</t>
  </si>
  <si>
    <t>Grease (kg)</t>
  </si>
  <si>
    <t xml:space="preserve">1. FY19 onwards includes fuel (LPG), whereas previous years only consumed gas. </t>
  </si>
  <si>
    <t>2. From FY22 Fuel consumption: includes corporate travel, MPC and LLC (within Stockland NGERS reporting boundary).</t>
  </si>
  <si>
    <t>Data coverage</t>
  </si>
  <si>
    <t>Property type</t>
  </si>
  <si>
    <t>Energy consumption data coverage (% NLA)</t>
  </si>
  <si>
    <t>Percentage of tenants metered/sub-metered for electricity</t>
  </si>
  <si>
    <t>WATER MANAGEMENT AND QUALITY</t>
  </si>
  <si>
    <t>Water consumption</t>
  </si>
  <si>
    <t>Total water consumption (kL)</t>
  </si>
  <si>
    <r>
      <t>Residential (contractors)</t>
    </r>
    <r>
      <rPr>
        <vertAlign val="superscript"/>
        <sz val="8"/>
        <color rgb="FF000000"/>
        <rFont val="Arial"/>
        <family val="2"/>
      </rPr>
      <t>2</t>
    </r>
  </si>
  <si>
    <r>
      <t>Retirement Living</t>
    </r>
    <r>
      <rPr>
        <vertAlign val="superscript"/>
        <sz val="8"/>
        <color rgb="FF000000"/>
        <rFont val="Arial"/>
        <family val="2"/>
      </rPr>
      <t>1</t>
    </r>
  </si>
  <si>
    <t>Potable water consumption (kL)</t>
  </si>
  <si>
    <t>Non-potable water consumption (kL)</t>
  </si>
  <si>
    <t>2. Residential contractor water data varies from year to year due to activities such as dust suppression and abnormal usage (e.g. filling lakes) in large developments, as well as location-specific variables such as natural rainfall, project life cycles, market conditions, site management techniques and local landscaping requirements set by councils. Furthermore, contractors self-report water data, which means we do not review each contractor’s data collection processes. </t>
  </si>
  <si>
    <t>Logistics and Workplace</t>
  </si>
  <si>
    <t>Total Commercial Property</t>
  </si>
  <si>
    <t>Water consumption intensity (kL/m2)</t>
  </si>
  <si>
    <r>
      <t>Total Commercial Property</t>
    </r>
    <r>
      <rPr>
        <b/>
        <vertAlign val="superscript"/>
        <sz val="8"/>
        <color rgb="FF000000"/>
        <rFont val="Arial"/>
        <family val="2"/>
      </rPr>
      <t>1</t>
    </r>
  </si>
  <si>
    <t>1. Consumption intensity data calculated based on Workplace and Town Centre consumption figures only.</t>
  </si>
  <si>
    <t>WASTE</t>
  </si>
  <si>
    <t>Operational waste (tonnes)</t>
  </si>
  <si>
    <r>
      <t>FY17</t>
    </r>
    <r>
      <rPr>
        <b/>
        <vertAlign val="superscript"/>
        <sz val="8"/>
        <color theme="0"/>
        <rFont val="Arial"/>
        <family val="2"/>
      </rPr>
      <t>1</t>
    </r>
  </si>
  <si>
    <t>Total waste</t>
  </si>
  <si>
    <t>Total waste to landfill</t>
  </si>
  <si>
    <t>Total waste recycled</t>
  </si>
  <si>
    <t>Diversion from landfill (%)</t>
  </si>
  <si>
    <r>
      <t>% portfolio reporting</t>
    </r>
    <r>
      <rPr>
        <vertAlign val="superscript"/>
        <sz val="8"/>
        <color rgb="FF000000"/>
        <rFont val="Arial"/>
        <family val="2"/>
      </rPr>
      <t>1</t>
    </r>
  </si>
  <si>
    <t>1. In FY22 % portfolio reporting has decreased due the divestment of assets and subsequent increase in the significance of assets we do have operational control over but have Council waste managmenet</t>
  </si>
  <si>
    <r>
      <t xml:space="preserve">Communities development waste (tonnes) </t>
    </r>
    <r>
      <rPr>
        <b/>
        <vertAlign val="superscript"/>
        <sz val="12"/>
        <color rgb="FF0080A6"/>
        <rFont val="Arial"/>
        <family val="2"/>
      </rPr>
      <t>1</t>
    </r>
  </si>
  <si>
    <t>Waste diverted from landfill</t>
  </si>
  <si>
    <t>Waste sent to landfill</t>
  </si>
  <si>
    <t>1. Communities development waste includes contractor and operational control waste generated from LLC and MPC activities</t>
  </si>
  <si>
    <t>2. Diversion rate fell in FY22 due to integration of Halcyon Constructions Queensland Pty Ltd, which achieved a diversion rate of 27%. Our Residential masterplanned communities civil contracts achieved a diversion rate of 96%.</t>
  </si>
  <si>
    <t xml:space="preserve">Commercial properties development waste (tonnes) </t>
  </si>
  <si>
    <t>Total waste (tonnes)</t>
  </si>
  <si>
    <t>CLIMATE RESILIENCE</t>
  </si>
  <si>
    <t>Our climate resilience assessment methodology assesses the resilience of individual properties and their communities. It focuses on the vulnerability of our assets to climate change, particularly their ability to endure severe weather impacts and operate without disruption. Key resilience criteria includes location and design, structure, operation and maintenance, utilities and services, and stakeholders. The assessment of each of these components are combined to provide an overall climate resilience score on a scale of 1 to 25, from outstanding resilience to high vulnerability (see table below).</t>
  </si>
  <si>
    <t>Classification</t>
  </si>
  <si>
    <t>Score</t>
  </si>
  <si>
    <t>Description</t>
  </si>
  <si>
    <t>Outstanding resilience</t>
  </si>
  <si>
    <t>0 to 4</t>
  </si>
  <si>
    <t>Asset has inherent adaptive capacity and very low sensitivity to climate hazards.  It is likely to have implemented a number of adaptation strategies to greatly improve tolerance to climate hazards. Asset is not likely to be located in a region which is exposed to climate hazards and to date has responded well to the changing climate.</t>
  </si>
  <si>
    <t>High resilience</t>
  </si>
  <si>
    <t>4 to 9</t>
  </si>
  <si>
    <t>Asset has good adaptive capacity and low sensitivity to climate hazards. It is likely to have implemented some adaptation strategies to improve tolerance to climate hazards. Asset is not likely to be located in a region which is exposed to climate hazards, however it may have a limited number of potential impacts to address to maintain resilience.</t>
  </si>
  <si>
    <t>Moderate resilience</t>
  </si>
  <si>
    <t>9 to 16</t>
  </si>
  <si>
    <t>Asset has moderate adaptive capacity and sensitivity to climate hazards. It is likely to have implemented a limited number of adaptation strategies to reduce vulnerability to climate hazards. Asset is likely to be located in a region which is exposed to climate hazards and has nominal potential impacts to address to improve resilience.</t>
  </si>
  <si>
    <t>High vulnerability</t>
  </si>
  <si>
    <t>16 to 25</t>
  </si>
  <si>
    <t>Asset has a low level of  adaptive capacity and high sensitivity to climate hazards. It is very unlikely to have implemented adaptation strategies to improve tolerance to climate hazards. Asset is very likely to be located in a region which is highly exposed to multiple climate hazards and has a number of potential impacts to address to reduce vulnerability.</t>
  </si>
  <si>
    <t>Asset climate resilience scores (Commercial Property)</t>
  </si>
  <si>
    <t>Location</t>
  </si>
  <si>
    <t>Year Assessed</t>
  </si>
  <si>
    <t>Resilience Rating</t>
  </si>
  <si>
    <r>
      <t>Workplace</t>
    </r>
    <r>
      <rPr>
        <b/>
        <vertAlign val="superscript"/>
        <sz val="8"/>
        <color theme="1"/>
        <rFont val="Arial"/>
        <family val="2"/>
      </rPr>
      <t>1</t>
    </r>
  </si>
  <si>
    <t>16 Giffnock Ave, Macquarie Park (NSW)</t>
  </si>
  <si>
    <t>601 Pacific Highway, St Leonards (NSW)</t>
  </si>
  <si>
    <t>60-66 Waterloo Rd, Macquarie Park (NSW)</t>
  </si>
  <si>
    <t>Durack Centre (WA)</t>
  </si>
  <si>
    <t>Macquarie Technology Park, Macquarie Park (NSW)</t>
  </si>
  <si>
    <t>Mulgrave Corporate Park (Vic)</t>
  </si>
  <si>
    <t>Optus Centre, Macquarie Park (NSW)</t>
  </si>
  <si>
    <t>Piccadilly Complex, Sydney (NSW)</t>
  </si>
  <si>
    <t>Triniti Business Park, North Ryde (NSW)</t>
  </si>
  <si>
    <t>Walker Street Complex, North Sydney (NSW)</t>
  </si>
  <si>
    <t>Total assets (Workplace)</t>
  </si>
  <si>
    <t>Portfolio coverage (Workplace)</t>
  </si>
  <si>
    <r>
      <t>Logistics</t>
    </r>
    <r>
      <rPr>
        <b/>
        <vertAlign val="superscript"/>
        <sz val="8"/>
        <color theme="1"/>
        <rFont val="Arial"/>
        <family val="2"/>
      </rPr>
      <t>1</t>
    </r>
  </si>
  <si>
    <t>182-202 Bowhill Road, Willawong (Qld)</t>
  </si>
  <si>
    <t>20-42 Amherst Drive, Truganina (Vic)</t>
  </si>
  <si>
    <t>23 Wonderland Drive (NSW)</t>
  </si>
  <si>
    <t>72-76 Cherry Lane, Laverton North (Vic)</t>
  </si>
  <si>
    <t>787 Boundary Road, Richlands (Qld)</t>
  </si>
  <si>
    <t>96-112 Gow Street, Padstow (NSW)</t>
  </si>
  <si>
    <t>Altona Distribution Centre (Vic)</t>
  </si>
  <si>
    <t>Altona Industrial Estate (Vic)</t>
  </si>
  <si>
    <t>Baker St, Botany (Previously Smeg Distribution Centre) (NSW)</t>
  </si>
  <si>
    <t>Brooklyn Distribution Centre (Vic)</t>
  </si>
  <si>
    <t>Carole Park Distribution Centre (Qld)</t>
  </si>
  <si>
    <t>Coopers Paddock, Warwick Farm (NSW)</t>
  </si>
  <si>
    <t>Cranbourne West Distribution Centre (VIC)</t>
  </si>
  <si>
    <t>Forrester Distribution Centre (NSW)</t>
  </si>
  <si>
    <t>Granville Industrial Estate (NSW)</t>
  </si>
  <si>
    <t>Hendra Industrial Estate (Qld)</t>
  </si>
  <si>
    <t>Ingleburn Logistics Park (NSW)</t>
  </si>
  <si>
    <t>Kemps Creek Land (NSW)</t>
  </si>
  <si>
    <t>KeyWest Distribution Centre, Truganina (Vic)</t>
  </si>
  <si>
    <t>Leppington Business Park (NSW)</t>
  </si>
  <si>
    <t>Melbourne Business Park (Vic)</t>
  </si>
  <si>
    <t>Oakleigh Industrial Estate (Vic)</t>
  </si>
  <si>
    <t>Quarry Road (NSW)</t>
  </si>
  <si>
    <t>Somerton Distribution Centre (Vic)</t>
  </si>
  <si>
    <t>Wetherill Park Distribution Centre (Qld)</t>
  </si>
  <si>
    <t>Willawong Distribution Centre (Qld)</t>
  </si>
  <si>
    <t>Yatala Distribution Centre (Qld)</t>
  </si>
  <si>
    <t>Yatala Distribution Centre South (Qld)</t>
  </si>
  <si>
    <t>Yennora Distribution Centre (NSW)</t>
  </si>
  <si>
    <t>Total assets (Logistics)</t>
  </si>
  <si>
    <t>Portfolio coverage (Logistics)</t>
  </si>
  <si>
    <r>
      <t>Town Centres</t>
    </r>
    <r>
      <rPr>
        <b/>
        <vertAlign val="superscript"/>
        <sz val="8"/>
        <color theme="1"/>
        <rFont val="Arial"/>
        <family val="2"/>
      </rPr>
      <t>1</t>
    </r>
  </si>
  <si>
    <t>Stockland Baldivis (WA)</t>
  </si>
  <si>
    <t>Stockland Balgowlah (NSW)</t>
  </si>
  <si>
    <t>Stockland Baringa (Qld)</t>
  </si>
  <si>
    <t>Stockland Birtinya (Qld)</t>
  </si>
  <si>
    <t>Stockland Burleigh Heads (Qld)</t>
  </si>
  <si>
    <t>Stockland Forster (NSW)</t>
  </si>
  <si>
    <t>Stockland Glendale (NSW)</t>
  </si>
  <si>
    <t>Stockland Green Hills (NSW)</t>
  </si>
  <si>
    <t>Stockland Harrisdale (WA)</t>
  </si>
  <si>
    <t>Stockland Hervey Bay (Qld)</t>
  </si>
  <si>
    <t>Stockland Merrylands (NSW)</t>
  </si>
  <si>
    <t>Stockland Nowra (NSW)</t>
  </si>
  <si>
    <t>Stockland Piccadilly (NSW)</t>
  </si>
  <si>
    <t>Stockland Point Cook (Vic)</t>
  </si>
  <si>
    <t>Stockland Rockhampton (Qld)</t>
  </si>
  <si>
    <t>Stockland Shellharbour (NSW)</t>
  </si>
  <si>
    <t>Stockland Shellharbour Retail Park (NSW)</t>
  </si>
  <si>
    <t>Stockland Townsville (Qld)</t>
  </si>
  <si>
    <t>Stockland Wendouree (Vic)</t>
  </si>
  <si>
    <t>Stockland Wetherill Park (NSW)</t>
  </si>
  <si>
    <t>Total assets (Town Centre)</t>
  </si>
  <si>
    <t>Portfolio coverage (Town Centre)</t>
  </si>
  <si>
    <t>Portfolio coverage (CP totall)</t>
  </si>
  <si>
    <t xml:space="preserve">1. Asset list excludes FY23 divestments. </t>
  </si>
  <si>
    <t>Climate resilience scores by asset (Communities)</t>
  </si>
  <si>
    <t>Masterplanned Communities (Active)</t>
  </si>
  <si>
    <t>Altona North (Vic)</t>
  </si>
  <si>
    <t>Altrove (NSW)</t>
  </si>
  <si>
    <t>Amberton Beach (WA)</t>
  </si>
  <si>
    <t>Aura (Qld)</t>
  </si>
  <si>
    <t>Banksia (Vic)</t>
  </si>
  <si>
    <t>Birtinya (Qld)</t>
  </si>
  <si>
    <t>Bokarina Beach (Oceanside) (Qld)</t>
  </si>
  <si>
    <t>Canopy (WA)</t>
  </si>
  <si>
    <t>Cloverton (Vic)</t>
  </si>
  <si>
    <t>Delta (Qld)</t>
  </si>
  <si>
    <t>Elara / Clydesdale (NSW)</t>
  </si>
  <si>
    <t>Eucalypt (Vic)</t>
  </si>
  <si>
    <t>N/A*</t>
  </si>
  <si>
    <t>Evergreen (Vic)</t>
  </si>
  <si>
    <t>Foreshore (Qld)</t>
  </si>
  <si>
    <t>Forest Reach (NSW)</t>
  </si>
  <si>
    <t>Grand Central (Vic)</t>
  </si>
  <si>
    <t>Grandview (Vic)</t>
  </si>
  <si>
    <t>Haven (Vic)</t>
  </si>
  <si>
    <t>Highlands (Vic)</t>
  </si>
  <si>
    <t>Illyarrie (Sinagra) (WA)</t>
  </si>
  <si>
    <t>Kalina (Qld)</t>
  </si>
  <si>
    <t>Katalia (Vic)</t>
  </si>
  <si>
    <t>Lakeside (NSW)</t>
  </si>
  <si>
    <t>Lyra (Vic)</t>
  </si>
  <si>
    <t>Minta (Vic)</t>
  </si>
  <si>
    <t>Mt Atkinson (Vic)</t>
  </si>
  <si>
    <t>Newport (Qld)</t>
  </si>
  <si>
    <t>North Shore (Qld)</t>
  </si>
  <si>
    <t>Orion (Vic)</t>
  </si>
  <si>
    <t>Providence (Qld)</t>
  </si>
  <si>
    <t>Red Hill (ACT)</t>
  </si>
  <si>
    <t>Sienna Wood (WA)</t>
  </si>
  <si>
    <t>The Gables (NSW)</t>
  </si>
  <si>
    <t>Wattle Park (Vic)</t>
  </si>
  <si>
    <t>Whiteman Edge (WA)</t>
  </si>
  <si>
    <t xml:space="preserve">Wildflower (WA) </t>
  </si>
  <si>
    <t>Willowdale (NSW)</t>
  </si>
  <si>
    <t>Masterplanned Communities (In Planning)</t>
  </si>
  <si>
    <t>Albert Street, Brunswick (Vic)</t>
  </si>
  <si>
    <t>Beaconsfield (WA)</t>
  </si>
  <si>
    <t>Botanica (Qld)</t>
  </si>
  <si>
    <t>Caboolture (Qld)</t>
  </si>
  <si>
    <t xml:space="preserve">Church St, Parramatta (NSW) </t>
  </si>
  <si>
    <t xml:space="preserve">Dunning Ave, Rosebery (NSW) </t>
  </si>
  <si>
    <t>Ellenbrook North (WA)</t>
  </si>
  <si>
    <t>Illawarra (NSW)</t>
  </si>
  <si>
    <t>Mariginiup (WA)</t>
  </si>
  <si>
    <t xml:space="preserve">Merrifield North (Vic) </t>
  </si>
  <si>
    <t>Oak Place (Wantirna) (WA)</t>
  </si>
  <si>
    <t>Twin Waters West (Qld)</t>
  </si>
  <si>
    <t>Wellard Farms (WA)</t>
  </si>
  <si>
    <t>Western Sydney University (NSW)</t>
  </si>
  <si>
    <t>Total assets (Masterplanned Communities - Active)</t>
  </si>
  <si>
    <t>Total assets (Masterplanned Communities - In planning)</t>
  </si>
  <si>
    <t>Total assets (Masterplanned Communities)</t>
  </si>
  <si>
    <t>Portfolio coverage (Masterplanned Communities)</t>
  </si>
  <si>
    <t xml:space="preserve">Land Lease Communities - Active </t>
  </si>
  <si>
    <t>Stockland B By Halcyon (Qld)</t>
  </si>
  <si>
    <t>Stockland Halcyon Berwick (Vic)</t>
  </si>
  <si>
    <t>Stockland Halcyon Evergreen (Vic)</t>
  </si>
  <si>
    <t xml:space="preserve">Stockland Halcyon Glades (Qld) </t>
  </si>
  <si>
    <t>Stockland Halcyon Greens (Qld)</t>
  </si>
  <si>
    <t>Stockland Halcyon Horizon (Vic)</t>
  </si>
  <si>
    <t>Stockland Halcyon Lakeside (Qld)</t>
  </si>
  <si>
    <t>Stockland Halcyon Landing (Qld)</t>
  </si>
  <si>
    <t>Stockland Halcyon Nirimba (Qld)</t>
  </si>
  <si>
    <t>Stockland Halcyon Parks (Qld)</t>
  </si>
  <si>
    <t>Stockland Halcyon Promenade (Qld)</t>
  </si>
  <si>
    <t>Stockland Halcyon Rise (Qld)</t>
  </si>
  <si>
    <t>Stockland Halcyon Waters (Qld)</t>
  </si>
  <si>
    <t>Stockland Vision by Halcyon (Qld)</t>
  </si>
  <si>
    <t xml:space="preserve">Land Lease Communities - In Planning </t>
  </si>
  <si>
    <t xml:space="preserve">Botanica (Qld) </t>
  </si>
  <si>
    <t>Cloverton (VIC)</t>
  </si>
  <si>
    <t>Coffs Harbour (NSW)</t>
  </si>
  <si>
    <t>Curlewis (Vic)</t>
  </si>
  <si>
    <t>Peregian (Qld)</t>
  </si>
  <si>
    <t>Sinagra (WA)</t>
  </si>
  <si>
    <t xml:space="preserve">Stockland Halcyon Forest Reach (NSW) </t>
  </si>
  <si>
    <t>Stockland Halcyon Highlands (Vic)</t>
  </si>
  <si>
    <t>Stockland Halcyon Providence (Qld)</t>
  </si>
  <si>
    <t>Stockland Halcyon St Germain (Vic)</t>
  </si>
  <si>
    <t xml:space="preserve">Stockland Halcyon Redland Bay (Qld) </t>
  </si>
  <si>
    <t>Wellard (WA)</t>
  </si>
  <si>
    <t>Wildflower (Piara Waters) (WA)</t>
  </si>
  <si>
    <t xml:space="preserve">Yandina (Qld) </t>
  </si>
  <si>
    <t>Total assets (Land Lease - Active)</t>
  </si>
  <si>
    <t>Total assets (Land Lease -  In planning)</t>
  </si>
  <si>
    <t>Total assets (Land Lease)</t>
  </si>
  <si>
    <t>Portfolio coverage (Land Lease)</t>
  </si>
  <si>
    <t>Portfolio coverage (Communities total)</t>
  </si>
  <si>
    <t xml:space="preserve">*Asset completed an acquisition climate risk assessment. A full resilience rating was not included in this early stage assessment. </t>
  </si>
  <si>
    <t>ASSET RATINGS</t>
  </si>
  <si>
    <t>Our average portfolio NABERS and Green Star Performance ratings are normalised by floor area in order to accurately reflect overall portfolio performance.
Assets that were divested in FY23 include: Stockland Bull Creek, Stockland Gladstone and Stockland Riverton</t>
  </si>
  <si>
    <t>Asset</t>
  </si>
  <si>
    <t>State</t>
  </si>
  <si>
    <t>Floor Area (sqm)</t>
  </si>
  <si>
    <t>NABERS Energy</t>
  </si>
  <si>
    <t>Multiplier</t>
  </si>
  <si>
    <t>NABERS Water</t>
  </si>
  <si>
    <t>Green Star Performance</t>
  </si>
  <si>
    <r>
      <t>Green Star 
As Built</t>
    </r>
    <r>
      <rPr>
        <b/>
        <vertAlign val="superscript"/>
        <sz val="8"/>
        <color theme="0"/>
        <rFont val="Arial"/>
        <family val="2"/>
      </rPr>
      <t>1</t>
    </r>
  </si>
  <si>
    <t>Green Star Buildings</t>
  </si>
  <si>
    <r>
      <t>Other</t>
    </r>
    <r>
      <rPr>
        <b/>
        <vertAlign val="superscript"/>
        <sz val="8"/>
        <color theme="0"/>
        <rFont val="Arial"/>
        <family val="2"/>
      </rPr>
      <t>2</t>
    </r>
  </si>
  <si>
    <t>Green Star Communities</t>
  </si>
  <si>
    <t>EnviroDevelopment</t>
  </si>
  <si>
    <t>Stockland Baldivis</t>
  </si>
  <si>
    <t>WA</t>
  </si>
  <si>
    <t>WELL Health-Safety</t>
  </si>
  <si>
    <t>Stockland Halcyon Glades</t>
  </si>
  <si>
    <t>Qld</t>
  </si>
  <si>
    <t>Yes</t>
  </si>
  <si>
    <t>Stockland Balgowlah</t>
  </si>
  <si>
    <t>NSW</t>
  </si>
  <si>
    <t>Stockland Halcyon Lakeside</t>
  </si>
  <si>
    <t>Stockland Baringa</t>
  </si>
  <si>
    <t>QLD</t>
  </si>
  <si>
    <t>Stockland Halcyon Landing</t>
  </si>
  <si>
    <t>Stockland Birtinya</t>
  </si>
  <si>
    <t xml:space="preserve">Stockland Halcyon Parks </t>
  </si>
  <si>
    <t>Stockland Burleigh Complex</t>
  </si>
  <si>
    <t>Stockland Halcyon Waters</t>
  </si>
  <si>
    <t>Stockland Forster</t>
  </si>
  <si>
    <t>Stockland Vision by Halcyon</t>
  </si>
  <si>
    <t>Stockland Glendale</t>
  </si>
  <si>
    <t>Stockland B by Halcyon</t>
  </si>
  <si>
    <t>Stockland Green Hills</t>
  </si>
  <si>
    <r>
      <t>No rating</t>
    </r>
    <r>
      <rPr>
        <vertAlign val="superscript"/>
        <sz val="8"/>
        <color theme="1"/>
        <rFont val="Arial"/>
        <family val="2"/>
      </rPr>
      <t xml:space="preserve"> 8</t>
    </r>
  </si>
  <si>
    <t>Stockland Halcyon Berwick</t>
  </si>
  <si>
    <t>Vic</t>
  </si>
  <si>
    <t>Stockland Harrisdale</t>
  </si>
  <si>
    <t>Stockland Halcyon Greens</t>
  </si>
  <si>
    <t>Stockland Hervey Bay</t>
  </si>
  <si>
    <t>No rating</t>
  </si>
  <si>
    <t>Stockland Halcyon Nirimba</t>
  </si>
  <si>
    <t>Stockland Merrylands</t>
  </si>
  <si>
    <t>Stockland Halcyon Promenade</t>
  </si>
  <si>
    <t>In progress</t>
  </si>
  <si>
    <t>Stockland Nowra</t>
  </si>
  <si>
    <t>Stockland Halcyon Rise</t>
  </si>
  <si>
    <t>Stockland Point Cook</t>
  </si>
  <si>
    <t>VIC</t>
  </si>
  <si>
    <t>Stockland Halcyon Evergreen</t>
  </si>
  <si>
    <r>
      <t>Stockland Piccadilly</t>
    </r>
    <r>
      <rPr>
        <vertAlign val="superscript"/>
        <sz val="8"/>
        <rFont val="Arial"/>
        <family val="2"/>
      </rPr>
      <t>3</t>
    </r>
  </si>
  <si>
    <t>Stockland Halcyon Horizon</t>
  </si>
  <si>
    <t>Stockland Rockhampton</t>
  </si>
  <si>
    <r>
      <t>Masterplanned Communities</t>
    </r>
    <r>
      <rPr>
        <b/>
        <vertAlign val="superscript"/>
        <sz val="8"/>
        <rFont val="Arial"/>
        <family val="2"/>
      </rPr>
      <t>1</t>
    </r>
  </si>
  <si>
    <t>Stockland Shellharbour</t>
  </si>
  <si>
    <t>Altrove</t>
  </si>
  <si>
    <t>NSW / ACT</t>
  </si>
  <si>
    <r>
      <t>Shellharbour Retail Park</t>
    </r>
    <r>
      <rPr>
        <vertAlign val="superscript"/>
        <sz val="8"/>
        <rFont val="Arial"/>
        <family val="2"/>
      </rPr>
      <t>4</t>
    </r>
  </si>
  <si>
    <t>Elara / Clydesdale</t>
  </si>
  <si>
    <t>Stockland Townsville</t>
  </si>
  <si>
    <t>Forest Reach</t>
  </si>
  <si>
    <t>Stockland Wendouree</t>
  </si>
  <si>
    <t>Lakeside</t>
  </si>
  <si>
    <t>Stockland Wetherill Park</t>
  </si>
  <si>
    <t>Red Hill</t>
  </si>
  <si>
    <t>Coverage (%)</t>
  </si>
  <si>
    <t>The Gables</t>
  </si>
  <si>
    <t>Portfolio Rating</t>
  </si>
  <si>
    <t>Willowdale</t>
  </si>
  <si>
    <t>Aura</t>
  </si>
  <si>
    <t>601 Pacific Highway, St Leonards</t>
  </si>
  <si>
    <t>1.5 Star NABERS Waste</t>
  </si>
  <si>
    <t>Birtinya</t>
  </si>
  <si>
    <t>Piccadilly Tower, 133 Castlereagh St, Sydney</t>
  </si>
  <si>
    <t>(6)</t>
  </si>
  <si>
    <t>1.5 Star NABERS Waste
WELL Health-Safety</t>
  </si>
  <si>
    <t>Bokarina Beach</t>
  </si>
  <si>
    <t>Piccadilly Court, 222 Pitt St, Sydney</t>
  </si>
  <si>
    <t>Delta</t>
  </si>
  <si>
    <t>110 Walker Street. North Sydney</t>
  </si>
  <si>
    <t>Foreshore</t>
  </si>
  <si>
    <r>
      <t>118 Walker Street, North Sydney</t>
    </r>
    <r>
      <rPr>
        <vertAlign val="superscript"/>
        <sz val="8"/>
        <rFont val="Arial"/>
        <family val="2"/>
      </rPr>
      <t>5</t>
    </r>
  </si>
  <si>
    <t>Kalina</t>
  </si>
  <si>
    <r>
      <t>122 Walker Street, North Sydney</t>
    </r>
    <r>
      <rPr>
        <vertAlign val="superscript"/>
        <sz val="8"/>
        <rFont val="Arial"/>
        <family val="2"/>
      </rPr>
      <t>6</t>
    </r>
  </si>
  <si>
    <t>Newport</t>
  </si>
  <si>
    <t>Durack Centre (263 Adelaide Terrace)</t>
  </si>
  <si>
    <t>North Shore</t>
  </si>
  <si>
    <t>2 Victoria Avenue</t>
  </si>
  <si>
    <t>Providence</t>
  </si>
  <si>
    <t>60-66 Waterloo Road, Macquarie Park</t>
  </si>
  <si>
    <t>0.0 Star NABERS Waste</t>
  </si>
  <si>
    <t>Banksia</t>
  </si>
  <si>
    <t>M Park Stage 1, Khartoum Road Macquarie Park</t>
  </si>
  <si>
    <t>(6), (6), (6)</t>
  </si>
  <si>
    <t>Cloverton</t>
  </si>
  <si>
    <t>Optus Centre, Macquarie Park</t>
  </si>
  <si>
    <t>Eucalypt</t>
  </si>
  <si>
    <t>Triniti, Building 1, 39 Delhi Road, North Ryde</t>
  </si>
  <si>
    <t>Evergreen</t>
  </si>
  <si>
    <t>Triniti, Building 2, 39 Delhi Road, North Ryde</t>
  </si>
  <si>
    <t>Grand Central</t>
  </si>
  <si>
    <t>Triniti, Building 3, 39 Delhi Road, North Ryde</t>
  </si>
  <si>
    <t>Grandview</t>
  </si>
  <si>
    <t>Mulgrave Corporate Park, 350 Wellington Road</t>
  </si>
  <si>
    <t>Haven</t>
  </si>
  <si>
    <t>Mulgrave Corporate Park, 352 Wellington Road</t>
  </si>
  <si>
    <t>Highlands</t>
  </si>
  <si>
    <t>Mulgrave Corporate Park, 690 Springvale Road</t>
  </si>
  <si>
    <t>Katalia</t>
  </si>
  <si>
    <t>Lyra</t>
  </si>
  <si>
    <t>Minta</t>
  </si>
  <si>
    <t>23 Wonderland Drive, Eastern Creek</t>
  </si>
  <si>
    <t>Mt Atkinson</t>
  </si>
  <si>
    <t>89 Quarry Road, Erskine Park</t>
  </si>
  <si>
    <t>Orion</t>
  </si>
  <si>
    <t>Coopers Paddock, Warwick Farm</t>
  </si>
  <si>
    <t>Wattle Park</t>
  </si>
  <si>
    <t>Forrester Distribution Centre, St Marys</t>
  </si>
  <si>
    <t>Amberton Beach</t>
  </si>
  <si>
    <t>Ingleburn Logistics Park</t>
  </si>
  <si>
    <t>(5)</t>
  </si>
  <si>
    <t>Canopy</t>
  </si>
  <si>
    <t>Leppington Business Park</t>
  </si>
  <si>
    <t>(5), (5)</t>
  </si>
  <si>
    <t>Illyarrie (Sinagra)</t>
  </si>
  <si>
    <t>Smeg Distribution Centre, Botany</t>
  </si>
  <si>
    <t>Sienna Wood</t>
  </si>
  <si>
    <t>Wetherill Park Distribution Centre</t>
  </si>
  <si>
    <t>Whiteman Edge</t>
  </si>
  <si>
    <t>Yennora Distribution Centre</t>
  </si>
  <si>
    <t xml:space="preserve">Wildflower </t>
  </si>
  <si>
    <t>110 Gow Street, Padstow</t>
  </si>
  <si>
    <t>787 Boundary Road, Richlands</t>
  </si>
  <si>
    <t>1. Asset list excludes all communities in planning</t>
  </si>
  <si>
    <t>Carole Park Distribution Centre</t>
  </si>
  <si>
    <t>Hendra Industrial Estate, Brisbane</t>
  </si>
  <si>
    <t>Willawong Distribution Centre</t>
  </si>
  <si>
    <t>5, (5)</t>
  </si>
  <si>
    <t>Yatala Distribution Centre</t>
  </si>
  <si>
    <t>(4)</t>
  </si>
  <si>
    <t>72-76 Cherry Lane, Laverton North</t>
  </si>
  <si>
    <t>Altona Distribution Centre</t>
  </si>
  <si>
    <t>Altona Industrial Estate</t>
  </si>
  <si>
    <t>Brooklyn Distribution Centre</t>
  </si>
  <si>
    <t>KeyWest Distribution Centre, Truganina</t>
  </si>
  <si>
    <t>Oakleigh Industrial Estate, Oakleigh South</t>
  </si>
  <si>
    <t>Somerton Distribution Centre, Somerton</t>
  </si>
  <si>
    <t>Padstow Complex</t>
  </si>
  <si>
    <t>Melbourne Business Park</t>
  </si>
  <si>
    <t>122 Canterbury Rd, Bankstown</t>
  </si>
  <si>
    <t>Cranbourne West</t>
  </si>
  <si>
    <t>Amherst Drive, Truganina</t>
  </si>
  <si>
    <t>Stockland Corporate Offices</t>
  </si>
  <si>
    <t>Sydney Head Office, L22-29, 133 Castlereagh St</t>
  </si>
  <si>
    <t>6 Star GS Interiors,
WELL Health-Safety</t>
  </si>
  <si>
    <t>Melbourne Head Office, L7, 452 Flinders Street</t>
  </si>
  <si>
    <t>Perth Head Office, L12, 263 Adelaide Terrace</t>
  </si>
  <si>
    <t>Brisbane Head Office, L4, 99 Melbourne Street</t>
  </si>
  <si>
    <t>Ratings in (brackets) are registered but have not yet received certification from the GBCA.</t>
  </si>
  <si>
    <t>Includes NABERS Waste, NABERS Indoor Environment (IE) and WELL ratings.</t>
  </si>
  <si>
    <t>Stockland Piccadilly is not eligible for NABERS ratings due to Town Centre GLA being &lt; 5,000 sqm.</t>
  </si>
  <si>
    <t>Shellharbour Retail Park is not eligible for NABES ratings as it is a Bulky Goods Centre, which means there is no common area or opportunity to influence energy usage.</t>
  </si>
  <si>
    <t>118 Walker Street is not eligible for NABERS ratings as it is unoccupied ahead of demolition and redevelopment.</t>
  </si>
  <si>
    <t>122 Walker Street is not eligible for NABERS ratings as it is unoccupied ahead of demolition and redevelopment.</t>
  </si>
  <si>
    <t>Assets that were divested in FY23 include: Stockland Bull Creek, Stockland Gladstone and Stockland Riverton</t>
  </si>
  <si>
    <t>Green Hills had a faulty gas meter that affected the completion of an  NABERS Energy rating in FY23</t>
  </si>
  <si>
    <t>Stockland Bull Creek</t>
  </si>
  <si>
    <t>Stockland Gladstone</t>
  </si>
  <si>
    <t>Divested on 31/8/22</t>
  </si>
  <si>
    <t>Stockland Riverton</t>
  </si>
  <si>
    <t>Divested on 27/6/2023</t>
  </si>
  <si>
    <t>Divested in Feb/Mar 2023</t>
  </si>
  <si>
    <t>BIODIVERSITY</t>
  </si>
  <si>
    <t>Biodiversity impact and management</t>
  </si>
  <si>
    <t xml:space="preserve">As noted in our Annual Report 2023, in FY23 Stockland completed a review of how we measure positive and negative impacts on biodiversity associated with our developments. We found that there have been advances in relation to the quantification of biodiversity outcomes since we first deployed our proprietary biodiversity calculator in 2015. Following this review, Stockland has started work on the development of an updated calculator and approach to tracking biodiversity outcomes associated with our developments.											</t>
  </si>
  <si>
    <t>Portfolio</t>
  </si>
  <si>
    <r>
      <t>Total projects with masterplan approval</t>
    </r>
    <r>
      <rPr>
        <vertAlign val="superscript"/>
        <sz val="8"/>
        <color theme="1"/>
        <rFont val="Arial"/>
        <family val="2"/>
      </rPr>
      <t>1</t>
    </r>
  </si>
  <si>
    <t>Total land area (ha)</t>
  </si>
  <si>
    <t xml:space="preserve">Biodiversity impact </t>
  </si>
  <si>
    <r>
      <t>Total projects with areas of biodiversity value</t>
    </r>
    <r>
      <rPr>
        <vertAlign val="superscript"/>
        <sz val="8"/>
        <color theme="1"/>
        <rFont val="Arial"/>
        <family val="2"/>
      </rPr>
      <t>2</t>
    </r>
  </si>
  <si>
    <t>Total land area with biodiversity value (ha)</t>
  </si>
  <si>
    <t>Total land area of biodiversity value to be cleared (ha)</t>
  </si>
  <si>
    <t>Total land area of biodiversity value to be conserved (ha)</t>
  </si>
  <si>
    <t>Total land area to be regenerated / rehabilitated (on site or off site) (ha)</t>
  </si>
  <si>
    <t>Biodiversity management</t>
  </si>
  <si>
    <r>
      <t>Total projects with areas of significant biodiversity value that have a biodiversity management plan</t>
    </r>
    <r>
      <rPr>
        <vertAlign val="superscript"/>
        <sz val="8"/>
        <color theme="1"/>
        <rFont val="Arial"/>
        <family val="2"/>
      </rPr>
      <t>3</t>
    </r>
  </si>
  <si>
    <t>Total projects working with community and non-governmental organisations</t>
  </si>
  <si>
    <t>1. Our biodiversity results are representative of our Masterplanned Communities projects with over 500 lots that have received masterplan approval and/or were active developments as at 30 June 2023.</t>
  </si>
  <si>
    <t xml:space="preserve">2. As defined by the relevant state or federal legislation. </t>
  </si>
  <si>
    <t xml:space="preserve">3. All of our projects with significant biodiversity on site are required to develop a biodiversity management plan (BMP) (see Environmental Management Approach). This figure reflects the number of projects for which a BMP has already been prepared. </t>
  </si>
  <si>
    <t>COMMUNITY DEVELOPMENT &amp; INVESTMENT</t>
  </si>
  <si>
    <t>Refreshed ESG Strategy - Social Impact</t>
  </si>
  <si>
    <t xml:space="preserve">            </t>
  </si>
  <si>
    <t>During FY23 we continued to deliver on the comitments whilst refreshing our ESG Strategy. Our progress is detailed below. Changes to targets have been indicated throughout. We believe our refreshed approach will deliver more impactful change for local communities.</t>
  </si>
  <si>
    <t>Focus Area</t>
  </si>
  <si>
    <t>FY22 Progress</t>
  </si>
  <si>
    <t>FY23 Progess</t>
  </si>
  <si>
    <t>Improve Equitable Access</t>
  </si>
  <si>
    <t>Design assets that are adaptable
and future-focused.</t>
  </si>
  <si>
    <t>Enhance the Stockland Accessibility Strategy to provide an improved customer experience to support those customers with a disability.</t>
  </si>
  <si>
    <t>We have enhanced our Accessibility Strategy by:
• Launching Sensory Maps in six of our Town Centres 
• Completing six customer experience audits across five of our Town Centres with Get Skilled Access, a disability inclusion consultant
• Hosting employee workshop to develop internal staff awareness and confidence, as well areas for improvement across customer journey touchpoints.  </t>
  </si>
  <si>
    <r>
      <t xml:space="preserve">FY23 has seen significant progress in the delivery of our enterprise wide strategy. Including the delivery of gold standard amenity at Weatherill Park and a new partnership with the Hidden Disabilities Sunflower program. </t>
    </r>
    <r>
      <rPr>
        <i/>
        <sz val="9"/>
        <rFont val="Arial"/>
        <family val="2"/>
      </rPr>
      <t>This target will change to align with refreshed ESG Strategy.</t>
    </r>
  </si>
  <si>
    <t>Undertake accessibility assessments for all Town Centres and benchmark the level of compliance and customer amenity (including dignity, equity and inclusion).</t>
  </si>
  <si>
    <t>Accessibility assessments have continued in FY22, with Shellharbour the latest to be completed. Recommendations are presented to the asset teams for actioning. To date, nine centres have completed assessments.</t>
  </si>
  <si>
    <r>
      <t xml:space="preserve">Accessibility Assessments continued in FY23 at Rockhampton, Birtinya, Hervey Bay and Townsville. Recommendations are presented to the asset teams for actioning. To date, thirteen centres have completed assessments. </t>
    </r>
    <r>
      <rPr>
        <i/>
        <sz val="9"/>
        <rFont val="Arial"/>
        <family val="2"/>
      </rPr>
      <t>This target will change to align with refreshed ESG Strategy.</t>
    </r>
  </si>
  <si>
    <t>Sensory maps available for all Town Centres.</t>
  </si>
  <si>
    <t>Sensory Maps have been launched in six Town Centres – Merrylands, Green Hills, Wetherill Park, Wendouree, Point Cook and Shellharbour. We will continue rolling these out across our retail portfolio over the coming two years.</t>
  </si>
  <si>
    <t>We will soon have Sensory Maps for eleven of our Town Centres with Townsville, Rockhampton, Hervey Bay, Burleigh Heads and Glendale the latest centres. These centres were mapped in FY23 and are soon to be released. We are on target to complete sensory maps for our whole portfolio within the next two years.</t>
  </si>
  <si>
    <t>Deliver a Wayfinding application across Town Centres (greater than 20,000 square meters GFA) to enhance the shopping experience of people living with vision impairments.</t>
  </si>
  <si>
    <t>We have continued our partnership with BindiMaps, which helps blind or vision-impaired customers navigate indoor areas through a wayfinding app that verbally guides them to their destinations. The technology has been installed at Stockland Nowra and Stockland Forster     .</t>
  </si>
  <si>
    <r>
      <t xml:space="preserve">During FY23 we have been designing wayfaring solutions that reach a broader spectrum of needs of people with a disability, leveraging our experience from BindiMaps and sensory maps. </t>
    </r>
    <r>
      <rPr>
        <i/>
        <sz val="9"/>
        <color theme="1"/>
        <rFont val="Arial"/>
        <family val="2"/>
      </rPr>
      <t>This target will change to align with refreshed ESG Strategy and approach to Social Impact.</t>
    </r>
  </si>
  <si>
    <t>Develop a shopping experience rating/benchmark for people shopping with disabilities.</t>
  </si>
  <si>
    <t xml:space="preserve">We have engaged Get Skilled Access, a disability inclusion consulting organisation, to complete audits and workshops with Retail customers living with disabilities to better understand their needs and any improvements we can make at our assets. </t>
  </si>
  <si>
    <r>
      <t xml:space="preserve">Recommendations from Accessibility Audits informed the benchmarking and Universal Needs analyis, with the intent of using these findings in setting new benchmarks around accessibility in our Town Centres around customer experience assessments from the perspective of dignity, equity and inclusion. Audit insights led to the Hidden Disabilities Sunflower program being launched in FY24. </t>
    </r>
    <r>
      <rPr>
        <i/>
        <sz val="9"/>
        <color theme="1"/>
        <rFont val="Arial"/>
        <family val="2"/>
      </rPr>
      <t>This target will change to align with refreshed ESG Strategy and approach to Social Impact.</t>
    </r>
  </si>
  <si>
    <t>Deliver a minimum of one Liveable Housing Australia (LHA) certified home (Silver Standard) in each display village with fewer than 20 lots, and two homes in display villages with more than 20 lots applicable where individual builders are allocate 3 lots or more</t>
  </si>
  <si>
    <t>LHA certified homes (Silver Standard) have been included in the display village at Willowdale (NSW), with another in development at Banksia (Vic).</t>
  </si>
  <si>
    <r>
      <t xml:space="preserve">Canopy has two display homes and one is LHA certified, 100% of the homes delivered at our Canopy MD (WA), Haven MD (VIC) and Elara (NSW) communities in FY23 were certified to LHA Silver. </t>
    </r>
    <r>
      <rPr>
        <i/>
        <sz val="9"/>
        <color rgb="FF000000"/>
        <rFont val="Arial"/>
        <family val="2"/>
      </rPr>
      <t xml:space="preserve"> This target will change to align with refreshed ESG Strategy and approach to Social Impact.</t>
    </r>
  </si>
  <si>
    <t>All new medium density projects to deliver the following LHA Silver standards
• 5 per cent for all developments
• 20 per cent for developments as a stretch target.</t>
  </si>
  <si>
    <t>This year, we delivered LHA Silver standards at approximately 10 per cent of our medium density projects.</t>
  </si>
  <si>
    <r>
      <t xml:space="preserve">At our Baringa Townhomes Stage 2 development, 42% of the dwellings were designed to LHA Silver standards but have not been certified. </t>
    </r>
    <r>
      <rPr>
        <i/>
        <sz val="9"/>
        <color rgb="FF000000"/>
        <rFont val="Arial"/>
        <family val="2"/>
      </rPr>
      <t>This target will change to align with refreshed ESG Strategy and approach to Social Impact.</t>
    </r>
  </si>
  <si>
    <t>All new Retirement Living village developments to be LHA Silver standard design.</t>
  </si>
  <si>
    <t xml:space="preserve">Stockland did not deliver any new Retirement Living villages in FY22. All new homes being constructed by Halcyon Qld are being built to LHA Silver standard. At our Halcyon Narimba community, we delivered an option for our customers to upgrade to Gold standard. </t>
  </si>
  <si>
    <t>Stockland Divested Retirement Living as at 29 July 2022</t>
  </si>
  <si>
    <t>Improve access to skills,
training, and pathways for
sustained livelihoods.</t>
  </si>
  <si>
    <t>Identify employment pathway training organisations to provide pathway programs to local communities at three suitable developments nationally.</t>
  </si>
  <si>
    <t xml:space="preserve">At Waterlea (Vic), an educational STEM microsite was set up with Rowville Secondary College to provide students with employment pathway education. </t>
  </si>
  <si>
    <r>
      <t xml:space="preserve">In partnership with the Killara foundation and Edmund Rise Services Mt. Atkinson (ERSMA), a café will operate as a social enterprise and will be run entirely by the community, providing opportunities for employment, on-the-job training and education for Aboriginal and Torres Strait Islander people. Killara foundation will take out a sublease over the Café and will be charged a peppercorn lease. </t>
    </r>
    <r>
      <rPr>
        <i/>
        <sz val="9"/>
        <color rgb="FF000000"/>
        <rFont val="Arial"/>
        <family val="2"/>
      </rPr>
      <t>This target will change to align with refreshed ESG Strategy and approach to Social Impact.</t>
    </r>
  </si>
  <si>
    <t>Minimum of one education program per community (school delivery or direct community program).</t>
  </si>
  <si>
    <r>
      <t>Delivered the Big Battery challenge to 24 schools nationally with our partner The National Theatre for Children. This engaged 15,544 students and 824 teachers, helping them understand the benefits of recycling. By the end of the 2021 school year, the program had collectively diverted 2,005 kilograms</t>
    </r>
    <r>
      <rPr>
        <b/>
        <sz val="9"/>
        <rFont val="Arial"/>
        <family val="2"/>
      </rPr>
      <t xml:space="preserve"> </t>
    </r>
    <r>
      <rPr>
        <sz val="9"/>
        <rFont val="Arial"/>
        <family val="2"/>
      </rPr>
      <t>of batteries from landfill and abated 7,241kgs of CO</t>
    </r>
    <r>
      <rPr>
        <vertAlign val="superscript"/>
        <sz val="9"/>
        <rFont val="Arial"/>
        <family val="2"/>
      </rPr>
      <t>2</t>
    </r>
    <r>
      <rPr>
        <sz val="9"/>
        <rFont val="Arial"/>
        <family val="2"/>
      </rPr>
      <t>e.  </t>
    </r>
  </si>
  <si>
    <r>
      <t xml:space="preserve">Delivered the Big Battery challenge to 25 schools nationally with our partner The National Theatre for Children. This engaged 19,202 students and 857 teachers, helping them understand the benefits of recycling. In total over FY23, 7048kg of batteries were recycled, 306,434 AA batteries were diverted from landfill and 28,804kg of CO2e avoided. </t>
    </r>
    <r>
      <rPr>
        <i/>
        <sz val="9"/>
        <color rgb="FF000000"/>
        <rFont val="Arial"/>
        <family val="2"/>
      </rPr>
      <t>This target will change to align with refreshed ESG Strategy and approach to Social Impact.</t>
    </r>
  </si>
  <si>
    <t>Partner with community organisations including the Australian Retailers Association (ARA) through their Retail Ready Program to facilitate the placement of 100 long-term unemployed Australians (local residents / community members unemployed for more than six months).</t>
  </si>
  <si>
    <t>We have continued working with the ARA through their Retail Ready Program to facilitate the placement of unemployed people into vacant jobs. In FY22, the ARA were able to provide 93 jobseekers with the opportunity to pursue vacancies in Stockland’s Town Centres, which fell just short of our target. This process was hindered by the impacts of COVID-related lockdowns and other restrictions, which led to fewer job openings across the Retail sector.</t>
  </si>
  <si>
    <r>
      <t xml:space="preserve">During FY23 we focused on preventative solutions through partnering to deliver taylored, place-based employability focused programs that meet local need. Examples include Mounty Yarns with Justice Reinvest, Youngster and ABCN programs that target youth at risk. We will revisit our partnership with ARA as part of our Universal Needs initiative.  </t>
    </r>
    <r>
      <rPr>
        <i/>
        <sz val="9"/>
        <color theme="1"/>
        <rFont val="Arial"/>
        <family val="2"/>
      </rPr>
      <t>This target will change to align with refreshed ESG Strategy and approach to Social Impact.</t>
    </r>
  </si>
  <si>
    <t>Continue to provide more
quality, efficient and affordable,
housing solutions.</t>
  </si>
  <si>
    <t>Investigate alternative models for housing and accommodation options.</t>
  </si>
  <si>
    <t>We delivered ‘Garden House’ homes at Stockland’s Sienna Wood project in partnership with DevelopmentWA, which utilise innovative design and construction methods to deliver high-quality two-bedroom homes at about $120,000 below the median house price of surrounding suburbs.</t>
  </si>
  <si>
    <r>
      <t xml:space="preserve">We are continuing to progress our internal approach to alternative models and have </t>
    </r>
    <r>
      <rPr>
        <i/>
        <sz val="9"/>
        <color theme="1"/>
        <rFont val="Arial"/>
        <family val="2"/>
      </rPr>
      <t>confirmed our commitment in our refreshed ESG Strategy to 'support housing affordability and pathways into a diversity of housing formats'.</t>
    </r>
  </si>
  <si>
    <t>Responsible Economic Opportunity</t>
  </si>
  <si>
    <t>Utilise our places and spaces to
enable a broader range of vibrant economic activity.</t>
  </si>
  <si>
    <t>Utilise Community Impact Valuation Tool to benchmark and improve placemaking outcomes that will contribute to local economic opportunities.</t>
  </si>
  <si>
    <t>Development of Social Impact Framework strategy underway to determine Stockland’s overall definition of social impact, a framework for data collection and sharing of information to inform decision making and provide valuable information to our acquisition, development and stakeholder teams.  </t>
  </si>
  <si>
    <t xml:space="preserve">Developed Social IQ enabling social outcomes to be considered alongside commercial feasibility at everystage of the value chain. </t>
  </si>
  <si>
    <t>Inclusive Prosperity</t>
  </si>
  <si>
    <t>Build resilience for our people and places to help them adapt to a changing world.</t>
  </si>
  <si>
    <t>Embed key resilience issues into Liveability Index to measure resilience of community.</t>
  </si>
  <si>
    <t>New questions were added to the 2022 Liveability Index survey to capture resident insights across economic, social and environmental resilience. Stockland will be able to use this feedback to measure the resilience of our communities, which will support the findings of our climate and community resilience assessments.</t>
  </si>
  <si>
    <t>Complete community resilience assessment on all new projects and embed actions into project/asset business plans.</t>
  </si>
  <si>
    <t xml:space="preserve">We are continuing to complete climate and community risk assessments. Each new assessment is followed by debrief sessions with development teams to discuss findings to help those teams embed potential mitigatory actions in their asset plans. The full list of assessments completed in FY22 is available in the ‘Climate Resilience’ tab of our ESG Data Pack.   </t>
  </si>
  <si>
    <r>
      <t xml:space="preserve">Completed as part of our Climate Risk Assessments. </t>
    </r>
    <r>
      <rPr>
        <i/>
        <sz val="9"/>
        <rFont val="Arial"/>
        <family val="2"/>
      </rPr>
      <t>This target will change to align with place-based social impact analysis as part of refreshed ESG Strategy.</t>
    </r>
  </si>
  <si>
    <t>Establish a group-wide skilled volunteering program.</t>
  </si>
  <si>
    <t>Stockland recognises the opportunity skilled volunteering plays in not only developing staff skills and building teams but capability building for charitable organisations.  Through piloted projects with Stockland CARE Foundation partners, the design of a new volunteering program integrated with Learning &amp; Development principles is being designed for roll-out in FY23.</t>
  </si>
  <si>
    <t>Under the remit of the new CARE Foundation Strategy, volunteering opportunities will be thoughtfully integrated with our Learning and Development strategic priorities for the fiscal year 2024. This strategic alignment ensures that our commitment to social impact goes hand-in-hand with the professional growth and expertise of our workforce, making a positive difference both within our organisation and in the broader community.</t>
  </si>
  <si>
    <t>Provide shared assets to
support affordable, connected and thriving communities.</t>
  </si>
  <si>
    <t>Establish a community resource sharing network across select assets and communities.</t>
  </si>
  <si>
    <t>We created a Community Creation and Curation toolkit in 2020 to help our asset teams share learnings about value creation and adopt a universal approach to delivering social value. This toolkit will be re-launched in FY23 to help our teams share data and insights on related to how we measure social outcomes and impact at the community, state and national level.   </t>
  </si>
  <si>
    <t xml:space="preserve">We have developed a place-based approach to social impact as part of our ESG strategy integration. </t>
  </si>
  <si>
    <t>Create lasting impact in our
communities and places of
work through valued social and
human capital.</t>
  </si>
  <si>
    <t>All communities and villages to have a community resilience toolkit.</t>
  </si>
  <si>
    <t xml:space="preserve">This target is being reviewed in line with our liveability resilience scorecard to help us understand if a community resilience toolkit will provide valuable information for our residents. All Green Star-rated communities already provide residents with a Resident Emergency Checklist as part of their welcome pack, which provides them with essential information to help them navigate emergency situations. </t>
  </si>
  <si>
    <t xml:space="preserve">We have developed a place-based approach to social impact as part of our ESG strategy integration. This is underpinned by our in depth social needs analysis.All Green Star-rated communities provide residents with a Resident Emergency Checklist as part of their welcome pack, which provides them with essential information to help them navigate emergency situations.  </t>
  </si>
  <si>
    <t>Embed connections into places and spaces to bring people togetherin a meaningful way.</t>
  </si>
  <si>
    <t>All new Town Centre developments to include a quiet room and an adult change facility.</t>
  </si>
  <si>
    <t>There were no new Town Centre developments in FY22. However, we also install quiet rooms and adult change facilities at existing assets when we complete amenity upgrades (where space allows). We now have eight quiet rooms and five adult change facilities across our Retail portfolio. We are also currently upgrading the amenities at Wetherill Park, which will include both a quiet room and adult change facility.</t>
  </si>
  <si>
    <r>
      <t xml:space="preserve">There were no new Town Centre developments in FY23. However, we continue to upgrade our centres with Gold Standard Amenity which can include adult change facilities, ambulant and accessible toilets, gender neutral toilets, quiet rooms and prayer rooms (where applicable). We completed this upgrade at Wetherill Park in FY23 and will commence the same upgrade at Merrylands, Baldivis and Glendale in the coming year. We now have six quiet rooms and six adult change facilities across our Retail portfolio. </t>
    </r>
    <r>
      <rPr>
        <i/>
        <sz val="9"/>
        <rFont val="Arial"/>
        <family val="2"/>
      </rPr>
      <t>This target will change to align with refreshed ESG Strategy and approach to Social Impact.</t>
    </r>
  </si>
  <si>
    <t>All Town Centres to include an inclusive playspace where space allows.</t>
  </si>
  <si>
    <t>We currently have several inclusive playspaces across our Town Centre portfolio, with two additional playspaces in design phase at Stockland Balgowlah and Stockland Forster.</t>
  </si>
  <si>
    <r>
      <t xml:space="preserve">We have several inclusive playspaces across our Town Centre portfolio, with a new playspace opening at Balgowlah and two additional playspaces in design phase at Stockland Forster and Stockland Point Cook. </t>
    </r>
    <r>
      <rPr>
        <i/>
        <sz val="9"/>
        <rFont val="Arial"/>
        <family val="2"/>
      </rPr>
      <t>This target will change to align with refreshed ESG Strategy and approach to Social Impact.</t>
    </r>
  </si>
  <si>
    <t>Enable opportunities for Retirement Living residents to volunteer through our network of community partners including the CARE Foundation.</t>
  </si>
  <si>
    <t>The ongoing impact of COVID-related lockdowns and associated restrictions meant that our ABCN mentoring program could not proceed as normal in SA and Qld.  </t>
  </si>
  <si>
    <t>Build a network of community partners that strengthen connection across all of our assets and projects.</t>
  </si>
  <si>
    <t>Workshops have been conducted with current partners to explore opportunities and capacity for scaling to align to Stockland’s new National Partnerships Framework. We are also considering new partner opportunities that align with our new strategy. We expect to make announcements on our progress.</t>
  </si>
  <si>
    <t xml:space="preserve">In alignment with our new ESG strategy and social impact orientation we are building on our community investment and cross-sector collaboration experience to focus on place-based approaches to social innovation and identifying partners to collaborate with to deliver on this. </t>
  </si>
  <si>
    <t>Shape experiences and social
interactions that contribute to a
sense of belonging.</t>
  </si>
  <si>
    <t>All retail centres to develop a youth engagement strategy to respond to local youth challenges, needs and interests.</t>
  </si>
  <si>
    <t>We are working with local, cross-sector stakeholders with vested interests in child safety, youth justice, and boosting participation in education and employment pathways. Specific examples of activities delivered across our Town Centres include:
• Stockland Townsville – a community consortia group delivered “Social Lane: a Pop-up Park”, a designated youth and community space that ran activities and acted as a services access point.
• Stockland Rockhampton – a multi-agency working group delivered a “Connection Hub” and “Drop In Space” that ran activities and acted as a services access point.
• Stockland Hervey Bay –  engaged with stakeholders in Youth Reconnect programs aimed at tackling long-term intergenerational unemployment, through the delivery of Industry Tours and the provision of work experience.</t>
  </si>
  <si>
    <r>
      <t xml:space="preserve">Our Space is a community connection point within Stockland Rockhampton Shopping Centre, where local health and support organisations can deliver services which target early intervention for at-risk youth, reducing disengagement, and offer health and wellbeing support to young people within Rockhampton. </t>
    </r>
    <r>
      <rPr>
        <i/>
        <sz val="9"/>
        <rFont val="Arial"/>
        <family val="2"/>
      </rPr>
      <t>This target will change to align with refreshed ESG Strategy and approach to Social Impact.</t>
    </r>
  </si>
  <si>
    <t>Continue to ensure all Masterplanned Communities over 1000 lots deliver at least one inclusive playspace.</t>
  </si>
  <si>
    <t>In December 2021, we opened the Hilltop Park inclusive playspace at our Minta community in Victoria, which was designed by creative landscape architects, Urban Edge and children’s charity group, Variety. Plans are underway to deliver a playspace at Willowdale in FY23, with future works flagged for our communities at The Gables, Highlands and Cloverton.</t>
  </si>
  <si>
    <r>
      <rPr>
        <sz val="9"/>
        <color rgb="FF000000"/>
        <rFont val="Arial"/>
        <family val="2"/>
      </rPr>
      <t xml:space="preserve">There were no new inclusive playspaces open this year, however our Willowdale inclusive playspace will open in FY24. </t>
    </r>
    <r>
      <rPr>
        <i/>
        <sz val="9"/>
        <color rgb="FF000000"/>
        <rFont val="Arial"/>
        <family val="2"/>
      </rPr>
      <t>This target will change to align with refreshed ESG Strategy and approach to Social Impact.</t>
    </r>
  </si>
  <si>
    <t>Thriving People</t>
  </si>
  <si>
    <t>Grow people’s resilience to emerge stronger as individuals and as a community.</t>
  </si>
  <si>
    <t>Conduct community resilience assessments at all Town Centres to understand the local social issues to be addressed through community development plans.</t>
  </si>
  <si>
    <t>This program is currently under review as part of our strategic review.</t>
  </si>
  <si>
    <t>The development of our new place based approach to Social Impact will deliver this target in FY24</t>
  </si>
  <si>
    <t>Empower people to contribute back positively to their communities to create lasting impact.</t>
  </si>
  <si>
    <t>Hold community development workshops at all our communities (pre-exit) to establish exit strategies with the aim of leaving positive legacy.</t>
  </si>
  <si>
    <t xml:space="preserve">No communities exited in FY22. We are reviewing previous strategies and case studies to identify best practice  principles and develop a toolkit for teams to utilise at future workshops. </t>
  </si>
  <si>
    <r>
      <t xml:space="preserve">Waterlea exited in FY23. </t>
    </r>
    <r>
      <rPr>
        <i/>
        <sz val="9"/>
        <color theme="1"/>
        <rFont val="Arial"/>
        <family val="2"/>
      </rPr>
      <t>This target will change to align with refreshed ESG Strategy and approach to Social Impact.</t>
    </r>
  </si>
  <si>
    <t>Target $21m contribution from Stockland and the Stockland CARE Foundation through community development and investment activities.</t>
  </si>
  <si>
    <t>This year, we achieved a total community contribution of $5.4 million, which delivers social infrastructure and programs across our strategic focus areas.</t>
  </si>
  <si>
    <r>
      <rPr>
        <sz val="9"/>
        <color rgb="FF000000"/>
        <rFont val="Arial"/>
        <family val="2"/>
      </rPr>
      <t xml:space="preserve">This year, we achieved a total community contribution of $7.65 million, which delivers social infrastructure and programs across our strategic focus areas. </t>
    </r>
    <r>
      <rPr>
        <i/>
        <sz val="9"/>
        <color rgb="FF000000"/>
        <rFont val="Arial"/>
        <family val="2"/>
      </rPr>
      <t>This target will change to align with refreshed ESG and CARE Foundation Strategy.</t>
    </r>
  </si>
  <si>
    <t>Refresh Community Partner Impact Valuation Tool to align with 2030 Sustainability Strategy framework.</t>
  </si>
  <si>
    <t>The community partner impact valuation tool will form part of the broader strategy including partner transition plans and inclusion in the social investment framework.</t>
  </si>
  <si>
    <t xml:space="preserve">Developed Social IQ enabling social outcomes from partnerships to be forecasted and reported. </t>
  </si>
  <si>
    <t>Enhance Health and Wellbeing</t>
  </si>
  <si>
    <t>Develop the spaces and
experiences for people to enhance their mental wellness.</t>
  </si>
  <si>
    <t>Reach over 1 million people with mental health messaging through CARE Foundation and Community Partnership communications and activations.</t>
  </si>
  <si>
    <t>We want people to feel supported and stronger every day through all of life’s ups and downs. To achieve this, we empower communities by providing vital skills, resources and networks that focus on mental resilience through partners such as Live Life Get Active, R U OK? and ReachOut. In the past year we have reached 270,000 people through targeted campaigns, such as ‘Your Natter Matters’, a campaign designed by R U OK? for older Australians.</t>
  </si>
  <si>
    <r>
      <t>The CARE Foundation collaboration with ReachOut, R U OK? and Redkite celebrated reaching close to 2 million people over the course of the last 3 years.This was augmented with further place based approaches through partnerships with Youngster and Live Life Get Active.</t>
    </r>
    <r>
      <rPr>
        <i/>
        <sz val="9"/>
        <rFont val="Arial"/>
        <family val="2"/>
      </rPr>
      <t xml:space="preserve"> This target will change to align with refreshed ESG Strategy and approach to Social Impact.</t>
    </r>
  </si>
  <si>
    <t>Deliver community programs and activations that enhance social interaction and awareness on health and wellbeing targeting over 20,000 customers per year.</t>
  </si>
  <si>
    <t>The health and wellbeing programs and activations we delivered at our communities during FY22 reached over 29,000 customers. Some of our programs included:
•	  Wellco pilot, a Stockland Wellbeing program designed to help residents thrive mentally, physically, and socially in collaboration with a range of community partners. This program was delivered over a 12-week period at five of our Retirement Living villages, with the aim of obtaining resident feedback on local health and wellbeing programs. A total of 660 residents attended these events. 
•	  Live Life Get Active (LLGA) – A total of 7,393 residents participated in our LLGA program across 12 Masterplanned Communities.
•	  Parkrun – a total of 21,560 participants took part in Parkrun events within our Masterplanned Communities and Commercial Property assets.  
•	  JMOF Cooking Program, Townsville – The Good Foundation delivered 8 x Jamie’s Ministry of Food 5-week cooking courses to 8 different community groups in the Stockland Townsville Community Room. This was run over 13 weeks and empowered 86
•	  R U OK? Day Coffee and Conversation morning tea at  Hendra Logistics Park, which hosted 80 attendees 
•	  Heart Foundation Walking Groups continued during COVID-19 restrictions, with a total of 1,082 registered walkers in our Stockland communities</t>
  </si>
  <si>
    <r>
      <t xml:space="preserve">The health and wellbeing programs and activations we delivered at our communities during FY23 reached over 35,000 customers. Some of our programs included:
 Live Life Get Active (LLGA) – A total of 6,907 residents participated in our LLGA program across 11 Masterplanned Communities.
Parkrun – a total of 31,869 participants took part in Parkrun events within our Masterplanned Communities and Commercial Property assets.  Heart Foundation Walking Groups continued during COVID-19 restrictions, with a total of 877 registered walkers in our Stockland communities. </t>
    </r>
    <r>
      <rPr>
        <i/>
        <sz val="9"/>
        <rFont val="Arial"/>
        <family val="2"/>
      </rPr>
      <t>This target will change to align with refreshed ESG Strategy and approach to Social Impact.</t>
    </r>
  </si>
  <si>
    <t>Activate the places for people
to be active and maximise their
physical wellbeing.</t>
  </si>
  <si>
    <t>All new communities to target best practice Walkability in design.</t>
  </si>
  <si>
    <t>Our goal is to activate places for people to be active so they can maximise their physical wellbeing. We are in the process of integrating walkability requirements into our Public Domain Strategy and Public Domain Landscape Strategy. Additionally, all new communities over 1000 lots will be required to comply with the Walkability and/or Healthy and Active credits in the Green Star Communities tool.</t>
  </si>
  <si>
    <r>
      <t xml:space="preserve">Walkability remains a consistent strength in design. This is measured as part of the Liveability Index. For FY23 NSW measured 68%, QLD 73%, VIC 68%, WA 75%. </t>
    </r>
    <r>
      <rPr>
        <i/>
        <sz val="9"/>
        <rFont val="Arial"/>
        <family val="2"/>
      </rPr>
      <t>This target will change to align with refreshed ESG Strategy and approach to Social Impact.</t>
    </r>
  </si>
  <si>
    <t>Provide activities to engage the elderly in all of our Town Centres to prevent social isolation and enhance wellbeing.</t>
  </si>
  <si>
    <t>This year, we launched our Youngster.Co pilot program at Stockland Baldivis and Stockland Forster, which is a free intergenerational program focusing on improving the IT literacy of seniors.</t>
  </si>
  <si>
    <r>
      <t>This year, we completed the pilot of our Youngster.Co program at Stockland Baldivis and Stockland Forster, which is a free intergenerational program focusing on improving the IT literacy of seniors. It was warmly received and supported by the two communities and will now be implemented permanently at these two centres and scaled further in FY24 to Green Hills, Glendale and Hervey Bay.</t>
    </r>
    <r>
      <rPr>
        <i/>
        <sz val="9"/>
        <rFont val="Arial"/>
        <family val="2"/>
      </rPr>
      <t xml:space="preserve"> This target will change to align with refreshed ESG Strategy and approach to Social Impact.</t>
    </r>
  </si>
  <si>
    <t>Create environments where people feel safe and secure.</t>
  </si>
  <si>
    <t>All new communities to be designed to Crime Prevention Through Environmental Design (CPTED) principles.</t>
  </si>
  <si>
    <t xml:space="preserve">We are currently working on incorporating Crime Prevention Through Environmental Design (CPTED) principles into our Public Domain Strategy. Key focus areas for our development teams are ‘design for visibility’ and ‘design for safety’. We also measure ‘perceived’ community safety concerns through the Liveability Index Survey and include any action items in our liveability action plan. </t>
  </si>
  <si>
    <r>
      <t xml:space="preserve">We continue to incorporate Crime Prevention Through Environmental Design (CPTED) principles into our Public Domain Strategy. Key focus areas for our development teams are ‘design for visibility’ and ‘design for safety’. We also measure ‘perceived’ community safety concerns through the Liveability Index Survey and include any action items in our liveability action plan. </t>
    </r>
    <r>
      <rPr>
        <i/>
        <sz val="9"/>
        <rFont val="Arial"/>
        <family val="2"/>
      </rPr>
      <t>This target will change to align with refreshed ESG Strategy and approach to Social Impact.</t>
    </r>
  </si>
  <si>
    <t>All communities achieve high liveability safety score</t>
  </si>
  <si>
    <t xml:space="preserve">This year, 83 per cent of residents reported high satisfaction with community safety in our National Liveability Survey. The mean score of 7.6/10 is derived from the question ‘how safe I feel’, which is a component of the Personal Wellbeing Index. </t>
  </si>
  <si>
    <r>
      <t xml:space="preserve">For FY23 86% of residents reported high satisfaction with the community safety in our National Liveability Survey.  </t>
    </r>
    <r>
      <rPr>
        <i/>
        <sz val="9"/>
        <rFont val="Arial"/>
        <family val="2"/>
      </rPr>
      <t>This target will change to align with refreshed ESG Strategy and approach to Social Impact.</t>
    </r>
  </si>
  <si>
    <t>Launch a safety program in all Town Centres (e.g. Safety House).</t>
  </si>
  <si>
    <t xml:space="preserve">We are in the process of identifying suitable safety programs for our Town Centres since the Safety House Program ceased operating in all regions except Western Australia. </t>
  </si>
  <si>
    <r>
      <t>Safety is included in our Universal Needs approach and will be rolled out from FY24.</t>
    </r>
    <r>
      <rPr>
        <i/>
        <sz val="9"/>
        <rFont val="Arial"/>
        <family val="2"/>
      </rPr>
      <t xml:space="preserve"> This target will change to align with refreshed ESG Strategy and approach to Social Impact.</t>
    </r>
  </si>
  <si>
    <t>Provide a ‘safe zone’ to support victims of domestic and family violence in at least one Town Centre in each state we operate.</t>
  </si>
  <si>
    <t xml:space="preserve">We have implemented domestic violence support programs at Stockland Gladstone and Stockland Shellharbour. </t>
  </si>
  <si>
    <r>
      <t xml:space="preserve">We continue a domestic violence support program Stockland Shellharbour and will use our social needs analysis to determine where futher opportunities for support may be. </t>
    </r>
    <r>
      <rPr>
        <i/>
        <sz val="9"/>
        <rFont val="Arial"/>
        <family val="2"/>
      </rPr>
      <t>This target will change to align with refreshed ESG Strategy and approach to Social Impact.</t>
    </r>
  </si>
  <si>
    <t> </t>
  </si>
  <si>
    <t>Background Notes</t>
  </si>
  <si>
    <r>
      <t xml:space="preserve">Our community data presents the total value of our strategic community investment activities delivered via:
• 	</t>
    </r>
    <r>
      <rPr>
        <b/>
        <sz val="8"/>
        <rFont val="Arial"/>
        <family val="2"/>
      </rPr>
      <t xml:space="preserve">community development </t>
    </r>
    <r>
      <rPr>
        <sz val="8"/>
        <rFont val="Arial"/>
        <family val="2"/>
      </rPr>
      <t xml:space="preserve">– our strategic approach to delivering infrastructure and social programs in partnership with not-for-profit organisations in the areas in and around our assets. 
• 	</t>
    </r>
    <r>
      <rPr>
        <b/>
        <sz val="8"/>
        <rFont val="Arial"/>
        <family val="2"/>
      </rPr>
      <t xml:space="preserve">community investment </t>
    </r>
    <r>
      <rPr>
        <sz val="8"/>
        <rFont val="Arial"/>
        <family val="2"/>
      </rPr>
      <t xml:space="preserve">– our long-term strategic involvement in community partnerships and programs that address social issues and opportunities through employee engagement programs.
• 	The </t>
    </r>
    <r>
      <rPr>
        <b/>
        <sz val="8"/>
        <rFont val="Arial"/>
        <family val="2"/>
      </rPr>
      <t>Stockland CARE Foundation</t>
    </r>
    <r>
      <rPr>
        <sz val="8"/>
        <rFont val="Arial"/>
        <family val="2"/>
      </rPr>
      <t xml:space="preserve"> – a charitable trust established for the purposes of improving the health, wellbeing and education of Australian communities. 
We report our community data holistically, given that our approach to investing in our community is consistent across all our business units. We do however provide breakdowns by business units when discussing investments and initiatives at asset level.</t>
    </r>
  </si>
  <si>
    <t>Total community contribution</t>
  </si>
  <si>
    <t>The table below outlines Stockland’s total community investment contributions including the Stockland CARE Foundation.</t>
  </si>
  <si>
    <t>Community Programs</t>
  </si>
  <si>
    <t>Financial support provided to local community organisations and programs from a Stockland residential, commercial property asset or project</t>
  </si>
  <si>
    <t xml:space="preserve">Communities </t>
  </si>
  <si>
    <t>Community Infrastructure planning &amp; delivery</t>
  </si>
  <si>
    <t xml:space="preserve">Community infrastructure that drives wellbeing through accessibility , inclusion, and physical activity. </t>
  </si>
  <si>
    <t>Accessibility Infrastructure</t>
  </si>
  <si>
    <t>Social Infrastructure</t>
  </si>
  <si>
    <t>Consultancy, planning, research and Development</t>
  </si>
  <si>
    <t>Employee volunteering</t>
  </si>
  <si>
    <t>Value of the number of hours logged from personal and team volunteering and student mentoring</t>
  </si>
  <si>
    <t>Management Costs</t>
  </si>
  <si>
    <t>Costs associated with the strategy, management, measurement  of Stockland’s community investment initiatives</t>
  </si>
  <si>
    <t>Employee Costs</t>
  </si>
  <si>
    <t>Consultancy - developing and assessing community strategy</t>
  </si>
  <si>
    <t xml:space="preserve">Memberships - program assessment </t>
  </si>
  <si>
    <t xml:space="preserve">Donations </t>
  </si>
  <si>
    <t>Matching employee Giving</t>
  </si>
  <si>
    <t>Total matched donations made by Stockland through Stockland’s workplace giving program</t>
  </si>
  <si>
    <t>CARE Foundation Programs &amp; CARE Grants</t>
  </si>
  <si>
    <t>Donations made to Stockland CARE Foundation partners as a result of corporate contributions and sponsorships</t>
  </si>
  <si>
    <t>Aura community Fund</t>
  </si>
  <si>
    <t>Corporate Donations</t>
  </si>
  <si>
    <t>Ad-hoc community donations made on behalf of Stockland Development and/or Stockland Trust</t>
  </si>
  <si>
    <t>Facilitated Giving - Leverage</t>
  </si>
  <si>
    <t>Employee donations to CARE Foundation partners and other community organisations</t>
  </si>
  <si>
    <t>Support for universities and research</t>
  </si>
  <si>
    <t xml:space="preserve">Costs associated with support given to Universities with sharded learning and research. </t>
  </si>
  <si>
    <t>Memberships and subscriptions to Community Organisations</t>
  </si>
  <si>
    <t>Costs associated with memberships to organisations with a community or social focus. E.G. Global compact, Diversity Council, Male Champions of Change etc</t>
  </si>
  <si>
    <t>In-kind Contributions</t>
  </si>
  <si>
    <t xml:space="preserve">The value of  non-financial goods and or services to not-for-profit organisations including space provision,   and casual mall leasing real estate costs , and forgone revenue.  </t>
  </si>
  <si>
    <t>Written Down Product or Equipment</t>
  </si>
  <si>
    <t>Provision of space</t>
  </si>
  <si>
    <t>Forgone Income / Opportunity Cost</t>
  </si>
  <si>
    <t>Total community contribution including leverage items</t>
  </si>
  <si>
    <t>GIVING AND VOLUNTEERING</t>
  </si>
  <si>
    <t>Workplace giving</t>
  </si>
  <si>
    <t>Donation</t>
  </si>
  <si>
    <t># of Charities</t>
  </si>
  <si>
    <r>
      <t>Employee Donations</t>
    </r>
    <r>
      <rPr>
        <vertAlign val="superscript"/>
        <sz val="8"/>
        <color rgb="FF000000"/>
        <rFont val="Arial"/>
        <family val="2"/>
      </rPr>
      <t>1</t>
    </r>
  </si>
  <si>
    <r>
      <t>Corporate Dollar Matching</t>
    </r>
    <r>
      <rPr>
        <vertAlign val="superscript"/>
        <sz val="8"/>
        <color rgb="FF000000"/>
        <rFont val="Arial"/>
        <family val="2"/>
      </rPr>
      <t>2</t>
    </r>
  </si>
  <si>
    <r>
      <t xml:space="preserve">$88,899 </t>
    </r>
    <r>
      <rPr>
        <vertAlign val="superscript"/>
        <sz val="8"/>
        <color rgb="FF000000"/>
        <rFont val="Arial"/>
        <family val="2"/>
      </rPr>
      <t>3</t>
    </r>
  </si>
  <si>
    <t>1. Total employee donations made by full-time, part-time and permanent contract Stockland employees through Stockland’s Workplace Giving Program and cash and gift card donations.</t>
  </si>
  <si>
    <t>2. Total amount of matched funds donated by Stockland to various charities through Stockland’s Workplace Giving Program.</t>
  </si>
  <si>
    <t>3. Matching cap not reached as increase in the number of donors but lesser amounts donated.</t>
  </si>
  <si>
    <t>Volunteering</t>
  </si>
  <si>
    <t>Employees</t>
  </si>
  <si>
    <t>Total Hours</t>
  </si>
  <si>
    <r>
      <t>Proxy Financial Value</t>
    </r>
    <r>
      <rPr>
        <b/>
        <vertAlign val="superscript"/>
        <sz val="8"/>
        <color rgb="FF000000"/>
        <rFont val="Arial"/>
        <family val="2"/>
      </rPr>
      <t>1</t>
    </r>
  </si>
  <si>
    <t>Proxy Financial Value</t>
  </si>
  <si>
    <r>
      <t>Team Volunteering</t>
    </r>
    <r>
      <rPr>
        <vertAlign val="superscript"/>
        <sz val="8"/>
        <color rgb="FF000000"/>
        <rFont val="Arial"/>
        <family val="2"/>
      </rPr>
      <t>2</t>
    </r>
  </si>
  <si>
    <r>
      <t>Student Mentoring</t>
    </r>
    <r>
      <rPr>
        <vertAlign val="superscript"/>
        <sz val="8"/>
        <color rgb="FF000000"/>
        <rFont val="Arial"/>
        <family val="2"/>
      </rPr>
      <t>3</t>
    </r>
  </si>
  <si>
    <r>
      <t>Personal Volunteering</t>
    </r>
    <r>
      <rPr>
        <vertAlign val="superscript"/>
        <sz val="8"/>
        <color rgb="FF000000"/>
        <rFont val="Arial"/>
        <family val="2"/>
      </rPr>
      <t>4</t>
    </r>
  </si>
  <si>
    <r>
      <t>CARE Committees</t>
    </r>
    <r>
      <rPr>
        <vertAlign val="superscript"/>
        <sz val="8"/>
        <color rgb="FF000000"/>
        <rFont val="Arial"/>
        <family val="2"/>
      </rPr>
      <t>5</t>
    </r>
  </si>
  <si>
    <r>
      <t xml:space="preserve">Foundation </t>
    </r>
    <r>
      <rPr>
        <sz val="8"/>
        <rFont val="Arial"/>
        <family val="2"/>
      </rPr>
      <t>Frenzy</t>
    </r>
    <r>
      <rPr>
        <vertAlign val="superscript"/>
        <sz val="8"/>
        <rFont val="Arial"/>
        <family val="2"/>
      </rPr>
      <t>6</t>
    </r>
  </si>
  <si>
    <r>
      <t>Total</t>
    </r>
    <r>
      <rPr>
        <b/>
        <vertAlign val="superscript"/>
        <sz val="8"/>
        <color rgb="FF000000"/>
        <rFont val="Arial"/>
        <family val="2"/>
      </rPr>
      <t>7</t>
    </r>
  </si>
  <si>
    <t>1. Calculated using B4SI methodology (Annual salaries (as reported in FY22 Annual Report)/average quarterly headcount) - Note this rate has been reduced from FY22 proxy rate of $76.58 to revised rate of $69.83.</t>
  </si>
  <si>
    <t>2. Includes total number of employees and hours that Stockland employees have participated in a team volunteering day with a not-for-profit organisation. Proxy financial values for FY23 are determined by the number of hours multiplied by the average hourly remuneration rate as included in B4SI’s 2021 guidance manual.</t>
  </si>
  <si>
    <t>3. Facilitated student mentoring programs run in partnership with the Australian Business and Community Network (ABCN) and are offered to Stockland employees in FY23 in NSW, WA, QLD, VIC and SA.</t>
  </si>
  <si>
    <t>4. Number of individual employees who took up personal volunteering in FY23 by taking up to 2 days of volunteering leave or using flexible working arrangements. Personal volunteering leave details including the number of hours volunteered and chosen charity must be logged in Stockland’s HR system and approved by the individual’s manager.</t>
  </si>
  <si>
    <t>5. Number of individual employees who sat on state-based employee Committees to facilitate activation of community and Foundation activities in their local areas.</t>
  </si>
  <si>
    <t>6. Foundation Frenzy this category refers to Stockland employees volunteering at internal activations for the Stockland CARE Foundation. In FY23 the Foundation was transitioning to a new model and this event is now no longer.</t>
  </si>
  <si>
    <t>7. Note that the total of these activities is higher than the reported amounts as some employees have been involved in more than one type of volunteering activity and we report by total employees involved.</t>
  </si>
  <si>
    <t>Employee participation</t>
  </si>
  <si>
    <r>
      <t>Workplace Giving Program</t>
    </r>
    <r>
      <rPr>
        <vertAlign val="superscript"/>
        <sz val="8"/>
        <color rgb="FF000000"/>
        <rFont val="Arial"/>
        <family val="2"/>
      </rPr>
      <t>1</t>
    </r>
  </si>
  <si>
    <r>
      <t>25%</t>
    </r>
    <r>
      <rPr>
        <vertAlign val="superscript"/>
        <sz val="8"/>
        <color rgb="FF000000"/>
        <rFont val="Arial"/>
        <family val="2"/>
      </rPr>
      <t>2</t>
    </r>
    <r>
      <rPr>
        <sz val="8"/>
        <color rgb="FF000000"/>
        <rFont val="Arial"/>
        <family val="2"/>
      </rPr>
      <t xml:space="preserve"> </t>
    </r>
  </si>
  <si>
    <r>
      <t>Volunteering Program</t>
    </r>
    <r>
      <rPr>
        <vertAlign val="superscript"/>
        <sz val="8"/>
        <color rgb="FF000000"/>
        <rFont val="Arial"/>
        <family val="2"/>
      </rPr>
      <t>3</t>
    </r>
  </si>
  <si>
    <t>1. Total number of individual employees who participated in Stockland’s Workplace Giving Program in FY23 as an ongoing or one-off donor as a percentage of total average workforce (Headcount) for FY23.</t>
  </si>
  <si>
    <t>2. Workplace giving was reduced as no major fundraising campaigns were held by the Stockland CARE Foundation as it transitions to a new strategy.</t>
  </si>
  <si>
    <t>3. Total number of individual employees who have participated in Stockland’s team volunteering program, student mentoring or personal volunteering programs as a percentage of Stockland’s total average workforce (Headcount) for FY23.</t>
  </si>
  <si>
    <t>CUSTOMER ENGAGEMENT</t>
  </si>
  <si>
    <t>Targets</t>
  </si>
  <si>
    <t>Supporting Commentary (As per annual report)</t>
  </si>
  <si>
    <t>Customer Satisfaction</t>
  </si>
  <si>
    <t>Tenant Satisfaction</t>
  </si>
  <si>
    <t>Achieve Town Centre tenant satisfaction of 75%.</t>
  </si>
  <si>
    <t>Achieved a Town Centre tenant satisfaction of 82.5% in FY23.</t>
  </si>
  <si>
    <t>FY23 Stockland’s performance has remained strong and stable, with continuous improvement across key pillars, including satisfaction with people, asset &amp; operations, leasing and marketing.
Amongst Stockland customers, Stockland was ranked 1st in overall satisfaction. 
This year however competitors have also improved their performance narrowing the gap between Stockland and hence impacting our end of year results (which takes into account not only Stockland ratings, but the relative difference vs competitors)</t>
  </si>
  <si>
    <t>Achieve Logistics and Workplace score of 80 per cent.</t>
  </si>
  <si>
    <t>Achieved a Logistics and Workplace score of 82% in FY23.</t>
  </si>
  <si>
    <t>Improvements in satisfaction have been largely driven by strong Property and Staff Relationships ratings particularly among Logistics tenants, who have has maintained a strong year on year performance</t>
  </si>
  <si>
    <t>Shopper Satisfaction</t>
  </si>
  <si>
    <t>Maintain Town Centre shopper satisfaction score of 78%.</t>
  </si>
  <si>
    <t>Achieved a Town Centre shopper satisfaction score of 82.1% in FY23.</t>
  </si>
  <si>
    <t>Improvements in shopper experience have been driven by an uplift in Top CX metrics such as accessibility &amp; navigation, safety / security, parking and food offering.
Our retail shopper strategy in FY23 saw initiatives designed to focus on opportunity areas in the customer journey around experiential engagement and community belonging in-centre which contributed to the positive rating</t>
  </si>
  <si>
    <t>Residential Customer Satisfaction</t>
  </si>
  <si>
    <t>Communities: Masterplanned Communities</t>
  </si>
  <si>
    <t>Achieve 80% satisfaction score amongst Deposit customers (Residential) </t>
  </si>
  <si>
    <t>Achieved a prospective customer satisfaction score of 81.4 in FY23</t>
  </si>
  <si>
    <t>In FY23 we have seen improvements in the overall sales experience among Deposit customers.
Deposit customers find it easy to work with Stockland and feel confident in the next stage of their journey.
Customers agree Stockland delivers to expectations and communications are useful and informative.
The improved sales experience in FY23 can be attributed to changes in our operating model – namely the introduction of Customer Support Centre (CSC). 
CSC team is dedicated to nurturing early enquiries / Leads and helping to determine readiness to buy. Once the CSC team determines a customer is qualified and ready to buy, a Sales Professional takes over the relationship. 
This change in our ways of working enables Sales professionals to better prioritise and dedicate more time to guide ‘ready to buy’ customers from Deposit through the settlement.</t>
  </si>
  <si>
    <t>Communities: Masterplan &amp; LLC Communities combined</t>
  </si>
  <si>
    <t xml:space="preserve">Achieve a Liveability score of 75% </t>
  </si>
  <si>
    <t xml:space="preserve">Achieved a combined Liveability score of 71 per cent, which was below our target of 75 per cent, </t>
  </si>
  <si>
    <t>MPC Residential Liveability Index remains steady at 70%. Halcyon achieved a Liveability Index of 72 (all communities averages at 71%)
Access to amenity (including retail, transport, and community spaces) emerged as a key priority among early communities 
Established communities perform well across the board, nonetheless an opportunity to address community design to further strengthen liveability
Halcyon communities perform well on home design along with safety and security, however there is an opportunity to address affordability perceptions (relating to ongoing costs)</t>
  </si>
  <si>
    <t>NOTE: Retirement Living data excluded as this asset class was divested as at 29 July 2022</t>
  </si>
  <si>
    <t>Masterplanned Communities</t>
  </si>
  <si>
    <r>
      <t>Weighted customer satisfaction score (prospective residents)</t>
    </r>
    <r>
      <rPr>
        <vertAlign val="superscript"/>
        <sz val="8"/>
        <color rgb="FF000000"/>
        <rFont val="Arial"/>
        <family val="2"/>
      </rPr>
      <t>1</t>
    </r>
  </si>
  <si>
    <r>
      <t>National Liveability Index (Masterplanned Communities)</t>
    </r>
    <r>
      <rPr>
        <vertAlign val="superscript"/>
        <sz val="8"/>
        <color theme="1"/>
        <rFont val="Arial"/>
        <family val="2"/>
      </rPr>
      <t>2</t>
    </r>
  </si>
  <si>
    <t>Liveability - Average resident satisfaction across our Masterplanned communities (6-10 score)</t>
  </si>
  <si>
    <r>
      <t>Liveability - Personal Wellbeing Index (Masterplanned Communities)</t>
    </r>
    <r>
      <rPr>
        <vertAlign val="superscript"/>
        <sz val="8"/>
        <color rgb="FF000000"/>
        <rFont val="Arial"/>
        <family val="2"/>
      </rPr>
      <t>3</t>
    </r>
  </si>
  <si>
    <r>
      <t>Resident KPI  across our Retirement Living communities (derived metric)</t>
    </r>
    <r>
      <rPr>
        <vertAlign val="superscript"/>
        <sz val="8"/>
        <rFont val="Arial"/>
        <family val="2"/>
      </rPr>
      <t>4</t>
    </r>
  </si>
  <si>
    <t>Resident stated satisfaction across our Retirement Living communities</t>
  </si>
  <si>
    <t>Personal Wellbeing Index (Retirement Living)</t>
  </si>
  <si>
    <t>1. In FY22, we enhanced our KPI approach focusing on our more immediate customers/those that had placed a deposit</t>
  </si>
  <si>
    <t>2. Average Liveability Index score - single number that measures resident satisfaction on a range of attributes calculated using regression analysis. The metric provided focuses on MPC communities only. LLC metric is also available</t>
  </si>
  <si>
    <t>3. Average resident Personal Wellbeing score as measured using Deakin University's methodology.</t>
  </si>
  <si>
    <t>4. This program was discontinued due to the disposal of Stockland's RL assets as at 30 June 2022</t>
  </si>
  <si>
    <t>Workplace &amp; Logistics</t>
  </si>
  <si>
    <r>
      <t>Combined Logistics and Workplace tenant KPI (derived metric)</t>
    </r>
    <r>
      <rPr>
        <vertAlign val="superscript"/>
        <sz val="8"/>
        <color rgb="FF000000"/>
        <rFont val="Arial"/>
        <family val="2"/>
      </rPr>
      <t>1</t>
    </r>
  </si>
  <si>
    <t>Combined Logistics and Workplace tenant stated satisfaction</t>
  </si>
  <si>
    <r>
      <t>87%</t>
    </r>
    <r>
      <rPr>
        <vertAlign val="superscript"/>
        <sz val="8"/>
        <rFont val="Arial"/>
        <family val="2"/>
      </rPr>
      <t>3</t>
    </r>
  </si>
  <si>
    <r>
      <t>79%</t>
    </r>
    <r>
      <rPr>
        <vertAlign val="superscript"/>
        <sz val="8"/>
        <color rgb="FF000000"/>
        <rFont val="Arial"/>
        <family val="2"/>
      </rPr>
      <t>4</t>
    </r>
  </si>
  <si>
    <r>
      <t>77%</t>
    </r>
    <r>
      <rPr>
        <vertAlign val="superscript"/>
        <sz val="8"/>
        <color rgb="FF000000"/>
        <rFont val="Arial"/>
        <family val="2"/>
      </rPr>
      <t>5</t>
    </r>
  </si>
  <si>
    <r>
      <t>76%</t>
    </r>
    <r>
      <rPr>
        <vertAlign val="superscript"/>
        <sz val="8"/>
        <color rgb="FF000000"/>
        <rFont val="Arial"/>
        <family val="2"/>
      </rPr>
      <t>6</t>
    </r>
  </si>
  <si>
    <t>Weighted tenant satisfaction score</t>
  </si>
  <si>
    <r>
      <t>Shopper KPI across the Stockland portfolio (YTD derived metric)</t>
    </r>
    <r>
      <rPr>
        <vertAlign val="superscript"/>
        <sz val="8"/>
        <color theme="1"/>
        <rFont val="Arial"/>
        <family val="2"/>
      </rPr>
      <t>7</t>
    </r>
  </si>
  <si>
    <t>Shopper stated satisfaction across the Stockland portfolio</t>
  </si>
  <si>
    <r>
      <rPr>
        <sz val="8"/>
        <color rgb="FF000000"/>
        <rFont val="Arial"/>
        <family val="2"/>
      </rPr>
      <t>Weighted Industry Average as measured by Monash</t>
    </r>
    <r>
      <rPr>
        <vertAlign val="superscript"/>
        <sz val="8"/>
        <color rgb="FF000000"/>
        <rFont val="Arial"/>
        <family val="2"/>
      </rPr>
      <t>8</t>
    </r>
  </si>
  <si>
    <t>1.  In FY22, we enhanced our KPI approach was enhanced to incorporate multiple attributes of the W&amp;L experience.</t>
  </si>
  <si>
    <t>2. Our W&amp;L tenant satisfaction survey was deferred in FY20 due to the sector disruption caused by COVID-19.</t>
  </si>
  <si>
    <t>3. In FY22 we re-classified tenant satisfaction percentages as results with a score of 7-10 (as opposed to 6-10) to better reflect overall satisfaction.</t>
  </si>
  <si>
    <t>4. The FY21 satisfaction score reported in prior years (6-10 score) was 87%.</t>
  </si>
  <si>
    <t>5. The FY19 satisfaction score reported in prior years (6-10 score) was 83%.</t>
  </si>
  <si>
    <t>6. The FY18 satisfaction score reported in prior years (6-10 score) was 89%.</t>
  </si>
  <si>
    <t>7. In FY21, we enhanced the KPI approach to incorporate multiple attributes of the shopper experience.</t>
  </si>
  <si>
    <t>8. Monash Business School ACRS (Australian Consumer and Retail Studies)</t>
  </si>
  <si>
    <t>GRI INDEX</t>
  </si>
  <si>
    <t xml:space="preserve">Stockland’s ESG reporting has been prepared in accordance with the Global Reporting Initiative (GRI) Standards (Core). This index relates to our FY23 sustainability reporting and provides a guide on where information can be found as it relates to GRI reporting requirements. </t>
  </si>
  <si>
    <t>Section</t>
  </si>
  <si>
    <t>Code</t>
  </si>
  <si>
    <t>Disclosure</t>
  </si>
  <si>
    <t>Comment</t>
  </si>
  <si>
    <t>UN Global Compact</t>
  </si>
  <si>
    <t>GRI 2: General Disclosures</t>
  </si>
  <si>
    <t>The Organisation and its reporting practices</t>
  </si>
  <si>
    <t>2-1</t>
  </si>
  <si>
    <t>Organisational Details</t>
  </si>
  <si>
    <t>Annual Report</t>
  </si>
  <si>
    <t>2-2</t>
  </si>
  <si>
    <t>Entities included in the organization’s sustainability reporting</t>
  </si>
  <si>
    <t>2-3</t>
  </si>
  <si>
    <t>Reporting period, frequency and contact point</t>
  </si>
  <si>
    <t>2-4</t>
  </si>
  <si>
    <t>Restatements of information</t>
  </si>
  <si>
    <t>2-5</t>
  </si>
  <si>
    <t>External assurance</t>
  </si>
  <si>
    <t>Activities and Workers</t>
  </si>
  <si>
    <t>2-6</t>
  </si>
  <si>
    <t>Activities, value chain and other business relationships</t>
  </si>
  <si>
    <t>Social Management Approach (Supply Chain Engagement)
Annual Report</t>
  </si>
  <si>
    <t>Principle 6</t>
  </si>
  <si>
    <t>2-7</t>
  </si>
  <si>
    <t>ESG Data Pack (Our Workforce)</t>
  </si>
  <si>
    <t>2-8</t>
  </si>
  <si>
    <t>Workers who are not employees</t>
  </si>
  <si>
    <t>Governance</t>
  </si>
  <si>
    <t>2-9</t>
  </si>
  <si>
    <t>Governance structure and composition</t>
  </si>
  <si>
    <t>Strategy, policies and practices</t>
  </si>
  <si>
    <t>2-22</t>
  </si>
  <si>
    <t>Statement on sustainable development
strategy</t>
  </si>
  <si>
    <t>2-27</t>
  </si>
  <si>
    <t>Compliance with laws and regulations</t>
  </si>
  <si>
    <t>Cultural and environmental breaches, if any during the year</t>
  </si>
  <si>
    <t>2-28</t>
  </si>
  <si>
    <t>Membership associations</t>
  </si>
  <si>
    <t>Governance Management Approach (Stakeholder Engagement)</t>
  </si>
  <si>
    <t>Stakeholder engagement</t>
  </si>
  <si>
    <t>2-29</t>
  </si>
  <si>
    <t>Approach to stakeholder engagement</t>
  </si>
  <si>
    <t>2-30</t>
  </si>
  <si>
    <t>Collective bargaining agreements</t>
  </si>
  <si>
    <t>Principle 3</t>
  </si>
  <si>
    <t>GRI 3: Material Topics</t>
  </si>
  <si>
    <t>Disclosures on material topics</t>
  </si>
  <si>
    <t>3-1</t>
  </si>
  <si>
    <t>Process to determine material topics</t>
  </si>
  <si>
    <t>Refer to notes below (for each material topic)</t>
  </si>
  <si>
    <t>Environmental Management Approach</t>
  </si>
  <si>
    <t>Social Management Approach</t>
  </si>
  <si>
    <t>Governance Management Approach</t>
  </si>
  <si>
    <t>3-2</t>
  </si>
  <si>
    <t>List of material topics</t>
  </si>
  <si>
    <t>3-3</t>
  </si>
  <si>
    <t>Management of material topics</t>
  </si>
  <si>
    <t>MATERIAL TOPIC</t>
  </si>
  <si>
    <t>CODE</t>
  </si>
  <si>
    <t>DISCLOSURE</t>
  </si>
  <si>
    <t>GRI 200: Economic</t>
  </si>
  <si>
    <t>201 Economic Performance</t>
  </si>
  <si>
    <t>201-1</t>
  </si>
  <si>
    <t>Direct economic value generated and distributed</t>
  </si>
  <si>
    <t>202 Market Presence</t>
  </si>
  <si>
    <t>202-2</t>
  </si>
  <si>
    <t>Proportion of senior management hired from the local community</t>
  </si>
  <si>
    <t>203 Indirect Economic Impacts</t>
  </si>
  <si>
    <t>203-1</t>
  </si>
  <si>
    <t>Infrastructure investments and services supported</t>
  </si>
  <si>
    <t>204 Procurement Practices</t>
  </si>
  <si>
    <t>204-1</t>
  </si>
  <si>
    <t>Proportion of spending on local suppliers</t>
  </si>
  <si>
    <t>Social Management Approach (Supply Chain Engagement)</t>
  </si>
  <si>
    <t>.</t>
  </si>
  <si>
    <t>205 Anti-corruption</t>
  </si>
  <si>
    <t>205-1</t>
  </si>
  <si>
    <t>Operations assessed for risks related to corruption</t>
  </si>
  <si>
    <t>Social Management Approach (Human Rights)</t>
  </si>
  <si>
    <t>Principle 10</t>
  </si>
  <si>
    <t>206 Anti-competitive behavior</t>
  </si>
  <si>
    <t>206-1</t>
  </si>
  <si>
    <t>Legal actions for anti-competitive behaviour, anti-trust, and monopoly practices</t>
  </si>
  <si>
    <t>No legal actions for anti-competitive behaviour, anti-trust, or monopoly practices in FY22.</t>
  </si>
  <si>
    <t>GRI 300: Environment</t>
  </si>
  <si>
    <t>302 Energy</t>
  </si>
  <si>
    <t>302-1</t>
  </si>
  <si>
    <t>Energy consumption within the organisation</t>
  </si>
  <si>
    <t>Principle 7
Principle 8</t>
  </si>
  <si>
    <t xml:space="preserve">303 Water and Effluents </t>
  </si>
  <si>
    <t>303-3</t>
  </si>
  <si>
    <t>Water withdrawal by source</t>
  </si>
  <si>
    <t>Environmental Management Approach (Water Management and Quality)</t>
  </si>
  <si>
    <t>304 Biodiversity</t>
  </si>
  <si>
    <t>304-1</t>
  </si>
  <si>
    <t>Operational sites owned, leased, managed in, or adjacent to protected areas and areas of high biodiversity value outside protected areas</t>
  </si>
  <si>
    <t>305 Emissions</t>
  </si>
  <si>
    <t>305-1</t>
  </si>
  <si>
    <t>Direct (Scope 1) GHG emissions</t>
  </si>
  <si>
    <t>305-2</t>
  </si>
  <si>
    <t>Energy indirect (Scope 2) GHG emissions</t>
  </si>
  <si>
    <t>305-3</t>
  </si>
  <si>
    <t>Other indirect (Scope 3) GHG emissions</t>
  </si>
  <si>
    <t>306 Effluents and Waste</t>
  </si>
  <si>
    <t>306-2</t>
  </si>
  <si>
    <t>Waste by type and disposal method</t>
  </si>
  <si>
    <t>308 Supplier Environmental Assessment</t>
  </si>
  <si>
    <t>308-1</t>
  </si>
  <si>
    <t>New suppliers that were screened using environmental criteria</t>
  </si>
  <si>
    <t>GRI 400: Social</t>
  </si>
  <si>
    <t>401 Employment</t>
  </si>
  <si>
    <t>401-1</t>
  </si>
  <si>
    <t>New employee hires and employee turnover</t>
  </si>
  <si>
    <t>Our Workforce</t>
  </si>
  <si>
    <t>402 Labor/Management Relations</t>
  </si>
  <si>
    <t>402-1</t>
  </si>
  <si>
    <t>Minimum notice periods regarding operational changes</t>
  </si>
  <si>
    <t>Social Management Approach (People &amp; Culture)</t>
  </si>
  <si>
    <t>403 Occupational Health and Safety</t>
  </si>
  <si>
    <t>403-2</t>
  </si>
  <si>
    <t>Types of injury and rates of injury, occupational diseases, lost days, absenteeism, and number of work-related fatalities</t>
  </si>
  <si>
    <t>404 Training and Education</t>
  </si>
  <si>
    <t>404-1</t>
  </si>
  <si>
    <t>Average hours of training per year per employee</t>
  </si>
  <si>
    <t>405 Diversity and Equal Opportunity</t>
  </si>
  <si>
    <t>405-1</t>
  </si>
  <si>
    <t>Diversity of governance bodies and employees</t>
  </si>
  <si>
    <t>406 Non-discrimination</t>
  </si>
  <si>
    <t>406-1</t>
  </si>
  <si>
    <t>Incidents of discrimination and corrective actions taken</t>
  </si>
  <si>
    <t>There were no incidents of discrimination reported in our code of conduct breaches, grievances or through our whistleblower channels in FY22.</t>
  </si>
  <si>
    <t>407 Freedom of Association and Collective Bargaining</t>
  </si>
  <si>
    <t>407-1</t>
  </si>
  <si>
    <t>Operations and suppliers in which the right to freedom of association and collective bargaining may be a risk</t>
  </si>
  <si>
    <t>408 Child Labor</t>
  </si>
  <si>
    <t>408-1</t>
  </si>
  <si>
    <t>Operations and suppliers at significant risk for incidents of child labour</t>
  </si>
  <si>
    <t>Principle 1
Principle 2
Principle 5</t>
  </si>
  <si>
    <t>409 Forced or Compulsory Labor</t>
  </si>
  <si>
    <t>409-1</t>
  </si>
  <si>
    <t>Operations and suppliers at significant risk for incidents of forced or compulsory labour</t>
  </si>
  <si>
    <t>Principle 1
Principle 2
Principle 4</t>
  </si>
  <si>
    <t>410 Security Practices</t>
  </si>
  <si>
    <t>410-1</t>
  </si>
  <si>
    <t>Security personnel trained in human rights policies or procedures</t>
  </si>
  <si>
    <t>411 Rights of Indigenous Peoples</t>
  </si>
  <si>
    <t>411-1</t>
  </si>
  <si>
    <t>Incidents of violations involving rights of indigenous peoples</t>
  </si>
  <si>
    <r>
      <rPr>
        <sz val="9"/>
        <rFont val="Arial"/>
        <family val="2"/>
      </rPr>
      <t>There were no incidents of violations involving rights of indigenous peoples reported in our code of conduct breaches, grievances or through our whistleblower channels in FY22</t>
    </r>
    <r>
      <rPr>
        <sz val="9"/>
        <color rgb="FFFF0000"/>
        <rFont val="Arial"/>
        <family val="2"/>
      </rPr>
      <t>.</t>
    </r>
  </si>
  <si>
    <t>Principle 1
Principle 2</t>
  </si>
  <si>
    <t>412 Human Rights Assessment</t>
  </si>
  <si>
    <t>412-1</t>
  </si>
  <si>
    <t>Operations that have been subject to human rights reviews or impact assessments</t>
  </si>
  <si>
    <t>412-2</t>
  </si>
  <si>
    <t>Employee training on human rights policies or procedures</t>
  </si>
  <si>
    <t>413 Local Communities</t>
  </si>
  <si>
    <t>413-1</t>
  </si>
  <si>
    <t>Operations with local community engagement, impact assessment, and development programs</t>
  </si>
  <si>
    <t>Social Management Approach (Community)</t>
  </si>
  <si>
    <t>414 Supplier Social Assessment</t>
  </si>
  <si>
    <t>414-1</t>
  </si>
  <si>
    <t>New suppliers that were screened using social criteria</t>
  </si>
  <si>
    <t>415 Public Policy</t>
  </si>
  <si>
    <t>415-1</t>
  </si>
  <si>
    <t>Political contributions</t>
  </si>
  <si>
    <t>416 Customer Health and Safety</t>
  </si>
  <si>
    <t>416-1</t>
  </si>
  <si>
    <t>Assessment of the health and safety impacts of product and service categories</t>
  </si>
  <si>
    <t>Social Management Approach (Health, Safety and Wellbeing)</t>
  </si>
  <si>
    <t>417 Marketing and Labeling</t>
  </si>
  <si>
    <t xml:space="preserve">417-2 </t>
  </si>
  <si>
    <t>Incidents of non-compliance concerning product and service information and labelling</t>
  </si>
  <si>
    <t>No incidents of non-compliance with regulations and voluntary codes concerning product and service information and labelling in FY22.</t>
  </si>
  <si>
    <t>417-3</t>
  </si>
  <si>
    <t>Incidents of non-compliance concerning marketing communications</t>
  </si>
  <si>
    <t>No incidents of non-compliance concerning marketing communications in FY22.</t>
  </si>
  <si>
    <t>418 Customer Privacy</t>
  </si>
  <si>
    <t>418-1</t>
  </si>
  <si>
    <t>Substantiated complaints concerning breaches of customer privacy and losses of customer data</t>
  </si>
  <si>
    <t>SASB INDEX</t>
  </si>
  <si>
    <t xml:space="preserve">Stockland’s ESG reporting has been prepared in accordance with the Sustainability Accounting Standards Board (SASB). This index relates to our FY23 ESG reporting and provides a guide on where information can be found as it relates to SASB reporting requirements. </t>
  </si>
  <si>
    <t>Disclosure Topic</t>
  </si>
  <si>
    <t>Metric</t>
  </si>
  <si>
    <t>Category</t>
  </si>
  <si>
    <t>Unit of Measure</t>
  </si>
  <si>
    <t>Accounting Metrics</t>
  </si>
  <si>
    <t>Energy Management</t>
  </si>
  <si>
    <t>IF-RE-130a.1</t>
  </si>
  <si>
    <t>Energy consumption data coverage as a percentage of total floor area, by property subsector</t>
  </si>
  <si>
    <t>Quantitative</t>
  </si>
  <si>
    <t>Percentage (%) by floor area</t>
  </si>
  <si>
    <t>IF-RE-130a.2</t>
  </si>
  <si>
    <t>(1) Total energy consumed by portfolio area with data coverage, (2) percentage grid electricity, and (3) percentage renewable, by property subsector</t>
  </si>
  <si>
    <t>Gigajoules (GJ), 
Percentage (%)</t>
  </si>
  <si>
    <t>IF-RE-130a.3</t>
  </si>
  <si>
    <t>Like-for-like percentage change in energy consumption for the portfolio area with data coverage, by property subsector</t>
  </si>
  <si>
    <t>Percentage (%)</t>
  </si>
  <si>
    <t>IF-RE-130a.4</t>
  </si>
  <si>
    <t>Percentage of eligible portfolio that (1) has an energy rating and (2) is certified to ENERGY STAR, by property subsector</t>
  </si>
  <si>
    <t>Partially reported. Stockland does not operate in a market that uses ENERGY STAR ratings. The energy rating schemes we use are listed in the Asset Ratings and Certification chapter of our Environmental Management Approach. Our current energy ratings are listed in the Asset Ratings section of our Consolidated Data Pack.</t>
  </si>
  <si>
    <t>Environmental Management Approach (Asset Ratings and Certification)</t>
  </si>
  <si>
    <t>IF-RE-130a.5</t>
  </si>
  <si>
    <t>Description of how building energy management considerations are integrated into property investment analysis and operational strategy</t>
  </si>
  <si>
    <t>Discussion and Analysis</t>
  </si>
  <si>
    <t>Partially reported. We explain how building energy management considerations support our strategic priorities related to climate, carbon and energy in our Environmental Management Approach.</t>
  </si>
  <si>
    <t>Water Management</t>
  </si>
  <si>
    <t>IF-RE-140a.1</t>
  </si>
  <si>
    <t>Water withdrawal data coverage as a percentage of (1) total floor area and (2) floor area in regions with High or Extremely High Baseline Water Stress, by property subsector</t>
  </si>
  <si>
    <t>Not reported.</t>
  </si>
  <si>
    <t>IF-RE-140a.2</t>
  </si>
  <si>
    <t>(1) Total water withdrawn by portfolio area with data coverage and (2) percentage in regions with High or Extremely High Baseline Water Stress, by property subsector</t>
  </si>
  <si>
    <t>Thousand cubic meters (m3),
Percentage (%)</t>
  </si>
  <si>
    <t>Partially reported. Stockland reports on total water consumption by portfolio area in kilolitres (kL).</t>
  </si>
  <si>
    <t>IF-RE-140a.3</t>
  </si>
  <si>
    <t>Like-for-like percentage change in water withdrawn for portfolio area with data coverage, by property subsector</t>
  </si>
  <si>
    <t>IF-RE-140a.4</t>
  </si>
  <si>
    <t>Description of water management risks and discussion of strategies and practices to mitigate those risks</t>
  </si>
  <si>
    <t xml:space="preserve">Annual Report </t>
  </si>
  <si>
    <t>Environmental Management Approach (Climate Resilience, Water Management &amp; Quality)</t>
  </si>
  <si>
    <t>Management of Tenant Sustainability Impacts</t>
  </si>
  <si>
    <t>IF-RE-410a.1</t>
  </si>
  <si>
    <t>(1) Percentage of new leases that contain a cost recovery clause for resource efficiency related capital improvements and (2) associated leased floor area, by property subsector</t>
  </si>
  <si>
    <t>Percentage (%) by floor area, Square feet (ft²)</t>
  </si>
  <si>
    <t>Not reported. The benefits of resource efficiency related capital improvements are shared with Stockland's tenants through billings.</t>
  </si>
  <si>
    <t>IF-RE-410a.2</t>
  </si>
  <si>
    <t>Percentage of tenants that are separately metered or submetered for (1) grid electricity consumption</t>
  </si>
  <si>
    <t>Percentage of tenants that are separately metered or submetered for (2) water withdrawals, by property subsector</t>
  </si>
  <si>
    <t>IF-RE-410a.3</t>
  </si>
  <si>
    <t>Discussion of approach to measuring, incentivizing, and improving sustainability impacts of tenants</t>
  </si>
  <si>
    <t>We use mandatory design requirements and other uptake schemes to enable our Masterplanned Communities residents to benefit from the savings associated with renewable energy generation and other sustainability measures.</t>
  </si>
  <si>
    <t>Climate Change Adaptation</t>
  </si>
  <si>
    <t>IF-RE-410a.4</t>
  </si>
  <si>
    <t>Area of properties located in 100-year flood zones, by property subsector</t>
  </si>
  <si>
    <t>Square feet (ft2)</t>
  </si>
  <si>
    <t>Not reported. Our assessment of flood risk is high-level, using mapping based on long-term climate predictions. For more information, refer to the Climate Resilience and Water Management &amp; Quality chapters in our Environmental Management Approach.</t>
  </si>
  <si>
    <t>IF-RE-410a.5</t>
  </si>
  <si>
    <t>Description of climate change risk exposure analysis, degree of systematic portfolio exposure, and strategies for mitigating risks</t>
  </si>
  <si>
    <t>Annual Report (TCFD)</t>
  </si>
  <si>
    <t>Activity Metrics</t>
  </si>
  <si>
    <t>IF-RE-000.A</t>
  </si>
  <si>
    <t>Number of assets, by property subsector</t>
  </si>
  <si>
    <t>IF-RE-000.B</t>
  </si>
  <si>
    <t>Leasable floor area, by property subsector</t>
  </si>
  <si>
    <t>Partially reported. Only reported for Commercial Property portfolio. Our Communities portfolio is based on number of lots and not leasable floor area.</t>
  </si>
  <si>
    <t>IF-RE-000.C</t>
  </si>
  <si>
    <t>Percentage of indirectly managed assets, by property subsector</t>
  </si>
  <si>
    <t>IF-RE-000.D</t>
  </si>
  <si>
    <t>Average occupancy rate, by property subsector</t>
  </si>
  <si>
    <t>Stockland divested its Retirement Living portfolio on 29 July 2022 (Stockland did not have operational control for July 2023 period). Stockland retained one Retirement Living assets, Affinity Village, WA.</t>
  </si>
  <si>
    <t>While every effort is made to provide accurate and complete information, Stockland does not warrant or represent that the information in this report is free from errors or omissions or is suitable for your intended use. The information provided in this document may not be suitable for your specific needs and should not be relied upon by you in substitution of you obtaining independent advice. Subject to any terms implied by law and which cannot be excluded, Stockland accepts no responsibility for any loss, damage, cost or expense (whether direct or indirect) incurred by you as a result of any error, omission or misrepresentation in this document. All information in this document is subject to change without notice. This document is not an offer or an invitation to acquire Stockland stapled securities or any other financial products in any jurisdictions, and is not a prospectus, product disclosure statements or other offering document under Australian law or any other law. It is for information purposes only.</t>
  </si>
  <si>
    <t>1. We define social value creation as our intentional effort and investment to deliver social, economic and/or environmental benefits for our communities and broader society. EY was engaged to provide limited assurance over Stockland’s approach to defining, measuring, and calculating the social value target – for further detail refer to Stockland’s FY23 Annual Report</t>
  </si>
  <si>
    <r>
      <t>We have used the FY22 - 24 targets to inform our refreshed ESG Strategy, the development of our Social IQ tool and our commitment to create over $1.0bn</t>
    </r>
    <r>
      <rPr>
        <vertAlign val="superscript"/>
        <sz val="10"/>
        <color theme="1"/>
        <rFont val="Arial"/>
        <family val="2"/>
      </rPr>
      <t>1</t>
    </r>
    <r>
      <rPr>
        <sz val="10"/>
        <color theme="1"/>
        <rFont val="Arial"/>
        <family val="2"/>
      </rPr>
      <t xml:space="preserve"> in social value by 2030. Our approach to Social Impact commencing in FY24 will be focused, purposeful investment in universal and place-based needs integrated into our business and scaled through our CARE Foundation. For more information on our approach please refer to our Social Management Approach and ESG Strategy in our Annual Report.</t>
    </r>
  </si>
  <si>
    <r>
      <t xml:space="preserve">We are accelerating and expanding our carbon commitment to reduce and align our business carbon emissions with a science based 1.5°C trajectory and pathway. We have set new decarbonisation targets for our business, and we have developed a disciplined, detailed Climate Transition Action Plan to drive our actions to meet them. As part of this plan, we are bringing forward our net zero scope 1 and 2 target to 2025. We are moving towards electrification of central plant assets through end-of-life capital replacement programs.
</t>
    </r>
    <r>
      <rPr>
        <i/>
        <sz val="9"/>
        <color rgb="FF000000"/>
        <rFont val="Arial"/>
        <family val="2"/>
      </rPr>
      <t>https://www.stockland.com.au/sustainability/downloads</t>
    </r>
  </si>
  <si>
    <t>Annual Report, ESG Data 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</si>
</sst>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8" formatCode="&quot;$&quot;#,##0.00;[Red]\-&quot;$&quot;#,##0.00"/>
    <numFmt numFmtId="44" formatCode="_-&quot;$&quot;* #,##0.00_-;\-&quot;$&quot;* #,##0.00_-;_-&quot;$&quot;* &quot;-&quot;??_-;_-@_-"/>
    <numFmt numFmtId="43" formatCode="_-* #,##0.00_-;\-* #,##0.00_-;_-* &quot;-&quot;??_-;_-@_-"/>
    <numFmt numFmtId="164" formatCode="0.0"/>
    <numFmt numFmtId="165" formatCode="0.0%"/>
    <numFmt numFmtId="166" formatCode="#,##0;\(#,##0\)"/>
    <numFmt numFmtId="167" formatCode="0.000%"/>
    <numFmt numFmtId="168" formatCode="&quot;$&quot;#,##0"/>
    <numFmt numFmtId="169" formatCode="_-* #,##0_-;\-* #,##0_-;_-* &quot;-&quot;??_-;_-@_-"/>
    <numFmt numFmtId="170" formatCode="_-&quot;$&quot;* #,##0_-;\-&quot;$&quot;* #,##0_-;_-&quot;$&quot;* &quot;-&quot;??_-;_-@_-"/>
    <numFmt numFmtId="171" formatCode="_-* #,##0.0_-;\-* #,##0.0_-;_-* &quot;-&quot;??_-;_-@_-"/>
  </numFmts>
  <fonts count="129">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u/>
      <sz val="11"/>
      <color theme="10"/>
      <name val="Calibri"/>
      <family val="2"/>
      <scheme val="minor"/>
    </font>
    <font>
      <sz val="11"/>
      <color theme="1"/>
      <name val="Arial"/>
      <family val="2"/>
    </font>
    <font>
      <b/>
      <sz val="14"/>
      <color theme="0"/>
      <name val="Arial"/>
      <family val="2"/>
    </font>
    <font>
      <b/>
      <sz val="16"/>
      <color theme="0"/>
      <name val="Arial"/>
      <family val="2"/>
    </font>
    <font>
      <sz val="10"/>
      <color theme="1"/>
      <name val="Arial"/>
      <family val="2"/>
    </font>
    <font>
      <b/>
      <sz val="10"/>
      <name val="Arial"/>
      <family val="2"/>
    </font>
    <font>
      <u/>
      <sz val="10"/>
      <color rgb="FF002060"/>
      <name val="Arial"/>
      <family val="2"/>
    </font>
    <font>
      <sz val="11"/>
      <color rgb="FFFF0000"/>
      <name val="Arial"/>
      <family val="2"/>
    </font>
    <font>
      <u/>
      <sz val="10"/>
      <color rgb="FFFF0000"/>
      <name val="Arial"/>
      <family val="2"/>
    </font>
    <font>
      <b/>
      <sz val="11"/>
      <color rgb="FFC00000"/>
      <name val="Arial"/>
      <family val="2"/>
    </font>
    <font>
      <sz val="10"/>
      <name val="Arial"/>
      <family val="2"/>
    </font>
    <font>
      <b/>
      <sz val="10"/>
      <color theme="0"/>
      <name val="Arial"/>
      <family val="2"/>
    </font>
    <font>
      <sz val="11"/>
      <color rgb="FF000000"/>
      <name val="Arial"/>
      <family val="2"/>
    </font>
    <font>
      <b/>
      <u/>
      <sz val="11"/>
      <color theme="10"/>
      <name val="Calibri"/>
      <family val="2"/>
      <scheme val="minor"/>
    </font>
    <font>
      <b/>
      <sz val="16"/>
      <color rgb="FF002060"/>
      <name val="Arial"/>
      <family val="2"/>
    </font>
    <font>
      <b/>
      <sz val="12"/>
      <color rgb="FF31869B"/>
      <name val="Arial"/>
      <family val="2"/>
    </font>
    <font>
      <sz val="12"/>
      <color rgb="FFC00000"/>
      <name val="Wingdings"/>
      <charset val="2"/>
    </font>
    <font>
      <sz val="12"/>
      <color rgb="FFFFC000"/>
      <name val="Wingdings"/>
      <charset val="2"/>
    </font>
    <font>
      <sz val="12"/>
      <color rgb="FF00B050"/>
      <name val="Wingdings"/>
      <charset val="2"/>
    </font>
    <font>
      <b/>
      <sz val="10"/>
      <color theme="1"/>
      <name val="Arial"/>
      <family val="2"/>
    </font>
    <font>
      <sz val="9"/>
      <color rgb="FF000000"/>
      <name val="Arial"/>
      <family val="2"/>
    </font>
    <font>
      <sz val="9"/>
      <color theme="1"/>
      <name val="Arial"/>
      <family val="2"/>
    </font>
    <font>
      <sz val="9"/>
      <name val="Arial"/>
      <family val="2"/>
    </font>
    <font>
      <sz val="11"/>
      <name val="Arial"/>
      <family val="2"/>
    </font>
    <font>
      <sz val="8"/>
      <color theme="1"/>
      <name val="Arial"/>
      <family val="2"/>
    </font>
    <font>
      <b/>
      <sz val="12"/>
      <color theme="1"/>
      <name val="Arial"/>
      <family val="2"/>
    </font>
    <font>
      <b/>
      <sz val="8"/>
      <color theme="0"/>
      <name val="Arial"/>
      <family val="2"/>
    </font>
    <font>
      <b/>
      <sz val="8"/>
      <color rgb="FF000000"/>
      <name val="Arial"/>
      <family val="2"/>
    </font>
    <font>
      <sz val="8"/>
      <name val="Arial"/>
      <family val="2"/>
    </font>
    <font>
      <sz val="8"/>
      <color rgb="FF000000"/>
      <name val="Arial"/>
      <family val="2"/>
    </font>
    <font>
      <i/>
      <sz val="8"/>
      <color theme="1"/>
      <name val="Arial"/>
      <family val="2"/>
    </font>
    <font>
      <vertAlign val="superscript"/>
      <sz val="8"/>
      <name val="Arial"/>
      <family val="2"/>
    </font>
    <font>
      <b/>
      <sz val="8"/>
      <name val="Arial"/>
      <family val="2"/>
    </font>
    <font>
      <b/>
      <vertAlign val="superscript"/>
      <sz val="8"/>
      <name val="Arial"/>
      <family val="2"/>
    </font>
    <font>
      <b/>
      <sz val="11"/>
      <color rgb="FFC00000"/>
      <name val="Calibri"/>
      <family val="2"/>
      <scheme val="minor"/>
    </font>
    <font>
      <b/>
      <vertAlign val="superscript"/>
      <sz val="8"/>
      <color theme="0"/>
      <name val="Arial"/>
      <family val="2"/>
    </font>
    <font>
      <b/>
      <sz val="8"/>
      <color rgb="FFFF0000"/>
      <name val="Arial"/>
      <family val="2"/>
    </font>
    <font>
      <b/>
      <sz val="8"/>
      <color rgb="FF00B050"/>
      <name val="Arial"/>
      <family val="2"/>
    </font>
    <font>
      <sz val="11"/>
      <name val="Calibri"/>
      <family val="2"/>
      <scheme val="minor"/>
    </font>
    <font>
      <b/>
      <sz val="12"/>
      <color rgb="FF0080A6"/>
      <name val="Arial"/>
      <family val="2"/>
    </font>
    <font>
      <sz val="8"/>
      <color theme="1"/>
      <name val="Calibri"/>
      <family val="2"/>
      <scheme val="minor"/>
    </font>
    <font>
      <vertAlign val="superscript"/>
      <sz val="8"/>
      <color theme="0"/>
      <name val="Arial"/>
      <family val="2"/>
    </font>
    <font>
      <i/>
      <sz val="8"/>
      <color rgb="FF000000"/>
      <name val="Arial"/>
      <family val="2"/>
    </font>
    <font>
      <sz val="8"/>
      <color rgb="FFFF0000"/>
      <name val="Arial"/>
      <family val="2"/>
    </font>
    <font>
      <vertAlign val="superscript"/>
      <sz val="8"/>
      <color rgb="FF000000"/>
      <name val="Arial"/>
      <family val="2"/>
    </font>
    <font>
      <vertAlign val="superscript"/>
      <sz val="8"/>
      <color theme="1"/>
      <name val="Arial"/>
      <family val="2"/>
    </font>
    <font>
      <b/>
      <vertAlign val="superscript"/>
      <sz val="12"/>
      <color rgb="FF31869B"/>
      <name val="Arial"/>
      <family val="2"/>
    </font>
    <font>
      <sz val="8"/>
      <color theme="0"/>
      <name val="Arial"/>
      <family val="2"/>
    </font>
    <font>
      <b/>
      <vertAlign val="superscript"/>
      <sz val="8"/>
      <color rgb="FF000000"/>
      <name val="Arial"/>
      <family val="2"/>
    </font>
    <font>
      <i/>
      <sz val="11"/>
      <color rgb="FFFF0000"/>
      <name val="Calibri"/>
      <family val="2"/>
      <scheme val="minor"/>
    </font>
    <font>
      <b/>
      <vertAlign val="superscript"/>
      <sz val="12"/>
      <color rgb="FF0080A6"/>
      <name val="Arial"/>
      <family val="2"/>
    </font>
    <font>
      <sz val="11"/>
      <color theme="1"/>
      <name val="Wingdings"/>
      <charset val="2"/>
    </font>
    <font>
      <sz val="9"/>
      <color rgb="FF000000"/>
      <name val="Wingdings"/>
      <charset val="2"/>
    </font>
    <font>
      <u/>
      <sz val="9"/>
      <color theme="1"/>
      <name val="Arial"/>
      <family val="2"/>
    </font>
    <font>
      <b/>
      <u/>
      <sz val="9"/>
      <color theme="1"/>
      <name val="Arial"/>
      <family val="2"/>
    </font>
    <font>
      <b/>
      <sz val="9"/>
      <name val="Arial"/>
      <family val="2"/>
    </font>
    <font>
      <vertAlign val="superscript"/>
      <sz val="9"/>
      <name val="Arial"/>
      <family val="2"/>
    </font>
    <font>
      <b/>
      <sz val="8"/>
      <color theme="1"/>
      <name val="Arial"/>
      <family val="2"/>
    </font>
    <font>
      <b/>
      <vertAlign val="superscript"/>
      <sz val="8"/>
      <color rgb="FF0080A6"/>
      <name val="Arial"/>
      <family val="2"/>
    </font>
    <font>
      <b/>
      <sz val="8"/>
      <color rgb="FF0080A6"/>
      <name val="Arial"/>
      <family val="2"/>
    </font>
    <font>
      <b/>
      <i/>
      <sz val="8"/>
      <color theme="1"/>
      <name val="Arial"/>
      <family val="2"/>
    </font>
    <font>
      <b/>
      <i/>
      <sz val="8"/>
      <color rgb="FF000000"/>
      <name val="Arial"/>
      <family val="2"/>
    </font>
    <font>
      <u/>
      <sz val="8"/>
      <color theme="10"/>
      <name val="Arial"/>
      <family val="2"/>
    </font>
    <font>
      <b/>
      <vertAlign val="subscript"/>
      <sz val="12"/>
      <color rgb="FF31869B"/>
      <name val="Arial"/>
      <family val="2"/>
    </font>
    <font>
      <b/>
      <vertAlign val="subscript"/>
      <sz val="12"/>
      <color rgb="FF0080A6"/>
      <name val="Arial"/>
      <family val="2"/>
    </font>
    <font>
      <b/>
      <sz val="10"/>
      <color theme="8"/>
      <name val="Arial"/>
      <family val="2"/>
    </font>
    <font>
      <b/>
      <sz val="16"/>
      <name val="Arial"/>
      <family val="2"/>
    </font>
    <font>
      <b/>
      <vertAlign val="superscript"/>
      <sz val="8"/>
      <color theme="1"/>
      <name val="Arial"/>
      <family val="2"/>
    </font>
    <font>
      <sz val="8"/>
      <color rgb="FFCC00FF"/>
      <name val="Arial"/>
      <family val="2"/>
    </font>
    <font>
      <b/>
      <sz val="8"/>
      <color rgb="FFCC00FF"/>
      <name val="Arial"/>
      <family val="2"/>
    </font>
    <font>
      <b/>
      <sz val="8"/>
      <color rgb="FFC00000"/>
      <name val="Arial"/>
      <family val="2"/>
    </font>
    <font>
      <sz val="8"/>
      <color rgb="FF002060"/>
      <name val="Arial"/>
      <family val="2"/>
    </font>
    <font>
      <b/>
      <u/>
      <sz val="9"/>
      <color theme="10"/>
      <name val="Arial"/>
      <family val="2"/>
    </font>
    <font>
      <b/>
      <sz val="9"/>
      <color rgb="FF002060"/>
      <name val="Arial"/>
      <family val="2"/>
    </font>
    <font>
      <b/>
      <sz val="9"/>
      <color rgb="FF31869B"/>
      <name val="Arial"/>
      <family val="2"/>
    </font>
    <font>
      <b/>
      <sz val="9"/>
      <color theme="0"/>
      <name val="Arial"/>
      <family val="2"/>
    </font>
    <font>
      <b/>
      <sz val="9"/>
      <color theme="1"/>
      <name val="Arial"/>
      <family val="2"/>
    </font>
    <font>
      <sz val="10"/>
      <color rgb="FF000000"/>
      <name val="Calibri"/>
      <family val="2"/>
      <scheme val="minor"/>
    </font>
    <font>
      <b/>
      <sz val="12"/>
      <color rgb="FF000000"/>
      <name val="Arial"/>
      <family val="2"/>
    </font>
    <font>
      <sz val="11"/>
      <color rgb="FF000000"/>
      <name val="Calibri"/>
      <family val="2"/>
      <scheme val="minor"/>
    </font>
    <font>
      <b/>
      <i/>
      <sz val="8"/>
      <color rgb="FFFFFFFF"/>
      <name val="Arial"/>
      <family val="2"/>
    </font>
    <font>
      <b/>
      <sz val="8"/>
      <color rgb="FFFFFFFF"/>
      <name val="Arial"/>
      <family val="2"/>
    </font>
    <font>
      <b/>
      <sz val="10"/>
      <color rgb="FF000000"/>
      <name val="Calibri"/>
      <family val="2"/>
      <scheme val="minor"/>
    </font>
    <font>
      <b/>
      <sz val="10"/>
      <color rgb="FF000000"/>
      <name val="ArialMT"/>
      <family val="2"/>
    </font>
    <font>
      <sz val="8"/>
      <color rgb="FFFFFFFF"/>
      <name val="Arial"/>
      <family val="2"/>
    </font>
    <font>
      <b/>
      <sz val="11"/>
      <color theme="0"/>
      <name val="Arial"/>
      <family val="2"/>
    </font>
    <font>
      <sz val="7.5"/>
      <color rgb="FF000000"/>
      <name val="Arial"/>
      <family val="2"/>
    </font>
    <font>
      <u/>
      <sz val="9"/>
      <color theme="10"/>
      <name val="Arial"/>
      <family val="2"/>
    </font>
    <font>
      <sz val="9"/>
      <color rgb="FFFF0000"/>
      <name val="Arial"/>
      <family val="2"/>
    </font>
    <font>
      <sz val="10"/>
      <color theme="1"/>
      <name val="Calibri"/>
      <family val="2"/>
      <scheme val="minor"/>
    </font>
    <font>
      <u/>
      <sz val="10"/>
      <color theme="2"/>
      <name val="Arial"/>
      <family val="2"/>
    </font>
    <font>
      <sz val="12"/>
      <color theme="1"/>
      <name val="Arial"/>
      <family val="2"/>
    </font>
    <font>
      <b/>
      <i/>
      <sz val="8"/>
      <color rgb="FFFF0000"/>
      <name val="Arial"/>
      <family val="2"/>
    </font>
    <font>
      <sz val="11"/>
      <color indexed="8"/>
      <name val="Calibri"/>
      <family val="2"/>
    </font>
    <font>
      <sz val="11"/>
      <color rgb="FF444444"/>
      <name val="Calibri"/>
      <family val="2"/>
      <charset val="1"/>
    </font>
    <font>
      <strike/>
      <sz val="8"/>
      <color rgb="FFFF0000"/>
      <name val="Arial"/>
      <family val="2"/>
    </font>
    <font>
      <sz val="11"/>
      <color theme="0"/>
      <name val="Calibri"/>
      <family val="2"/>
      <scheme val="minor"/>
    </font>
    <font>
      <b/>
      <sz val="12"/>
      <color rgb="FFFF0000"/>
      <name val="Arial"/>
      <family val="2"/>
    </font>
    <font>
      <sz val="11"/>
      <color rgb="FFC00000"/>
      <name val="Calibri"/>
      <family val="2"/>
      <scheme val="minor"/>
    </font>
    <font>
      <b/>
      <sz val="16"/>
      <color theme="1"/>
      <name val="Arial"/>
      <family val="2"/>
    </font>
    <font>
      <b/>
      <sz val="12"/>
      <name val="Arial"/>
      <family val="2"/>
    </font>
    <font>
      <sz val="9"/>
      <color theme="1"/>
      <name val="Calibri"/>
      <family val="2"/>
      <scheme val="minor"/>
    </font>
    <font>
      <sz val="9"/>
      <color theme="1"/>
      <name val="Arial"/>
      <family val="2"/>
      <charset val="1"/>
    </font>
    <font>
      <sz val="11"/>
      <color theme="1"/>
      <name val="Arial"/>
      <family val="2"/>
    </font>
    <font>
      <b/>
      <u/>
      <sz val="10"/>
      <name val="Arial"/>
      <family val="2"/>
    </font>
    <font>
      <i/>
      <sz val="8"/>
      <color rgb="FFFF0000"/>
      <name val="Arial"/>
      <family val="2"/>
    </font>
    <font>
      <i/>
      <sz val="8"/>
      <color rgb="FF00B050"/>
      <name val="Arial"/>
      <family val="2"/>
    </font>
    <font>
      <i/>
      <sz val="10"/>
      <color theme="1"/>
      <name val="Arial"/>
      <family val="2"/>
    </font>
    <font>
      <sz val="8"/>
      <name val="Calibri"/>
      <family val="2"/>
      <scheme val="minor"/>
    </font>
    <font>
      <b/>
      <u/>
      <sz val="11"/>
      <color theme="1"/>
      <name val="Arial"/>
      <family val="2"/>
    </font>
    <font>
      <u/>
      <sz val="11"/>
      <color theme="10"/>
      <name val="Arial"/>
      <family val="2"/>
    </font>
    <font>
      <sz val="10"/>
      <color rgb="FF000000"/>
      <name val="Arial"/>
      <family val="2"/>
    </font>
    <font>
      <u/>
      <sz val="11"/>
      <color rgb="FF0563C1"/>
      <name val="Arial"/>
      <family val="2"/>
    </font>
    <font>
      <b/>
      <sz val="12"/>
      <color theme="2" tint="-0.749992370372631"/>
      <name val="Arial"/>
      <family val="2"/>
    </font>
    <font>
      <b/>
      <vertAlign val="subscript"/>
      <sz val="12"/>
      <color theme="2" tint="-0.749992370372631"/>
      <name val="Arial"/>
      <family val="2"/>
    </font>
    <font>
      <b/>
      <vertAlign val="superscript"/>
      <sz val="12"/>
      <color theme="2" tint="-0.749992370372631"/>
      <name val="Arial"/>
      <family val="2"/>
    </font>
    <font>
      <b/>
      <vertAlign val="superscript"/>
      <sz val="8"/>
      <color theme="2" tint="-0.749992370372631"/>
      <name val="Arial"/>
      <family val="2"/>
    </font>
    <font>
      <b/>
      <sz val="8"/>
      <color theme="2" tint="-0.749992370372631"/>
      <name val="Arial"/>
      <family val="2"/>
    </font>
    <font>
      <i/>
      <sz val="9"/>
      <name val="Arial"/>
      <family val="2"/>
    </font>
    <font>
      <i/>
      <sz val="9"/>
      <color theme="1"/>
      <name val="Arial"/>
      <family val="2"/>
    </font>
    <font>
      <i/>
      <sz val="9"/>
      <color rgb="FF000000"/>
      <name val="Arial"/>
      <family val="2"/>
    </font>
    <font>
      <sz val="9"/>
      <color rgb="FF000000"/>
      <name val="Arial"/>
    </font>
    <font>
      <i/>
      <sz val="9"/>
      <color rgb="FF000000"/>
      <name val="Arial"/>
    </font>
    <font>
      <vertAlign val="superscript"/>
      <sz val="10"/>
      <color theme="1"/>
      <name val="Arial"/>
      <family val="2"/>
    </font>
    <font>
      <sz val="8"/>
      <color theme="1"/>
      <name val="Arial"/>
    </font>
  </fonts>
  <fills count="38">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31869B"/>
        <bgColor indexed="64"/>
      </patternFill>
    </fill>
    <fill>
      <patternFill patternType="solid">
        <fgColor theme="0" tint="-0.34998626667073579"/>
        <bgColor indexed="64"/>
      </patternFill>
    </fill>
    <fill>
      <patternFill patternType="solid">
        <fgColor rgb="FFD9D9D9"/>
        <bgColor rgb="FF000000"/>
      </patternFill>
    </fill>
    <fill>
      <patternFill patternType="solid">
        <fgColor rgb="FF31869B"/>
        <bgColor rgb="FF000000"/>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rgb="FF000000"/>
      </patternFill>
    </fill>
    <fill>
      <patternFill patternType="gray125">
        <bgColor theme="0"/>
      </patternFill>
    </fill>
    <fill>
      <patternFill patternType="solid">
        <fgColor theme="4" tint="-0.249977111117893"/>
        <bgColor indexed="64"/>
      </patternFill>
    </fill>
    <fill>
      <patternFill patternType="solid">
        <fgColor rgb="FFEAEAEA"/>
        <bgColor indexed="64"/>
      </patternFill>
    </fill>
    <fill>
      <patternFill patternType="solid">
        <fgColor rgb="FFE6E6E6"/>
        <bgColor indexed="64"/>
      </patternFill>
    </fill>
    <fill>
      <patternFill patternType="gray125">
        <bgColor rgb="FFFFFFFF"/>
      </patternFill>
    </fill>
    <fill>
      <patternFill patternType="lightGray"/>
    </fill>
    <fill>
      <patternFill patternType="lightGray">
        <bgColor theme="0"/>
      </patternFill>
    </fill>
    <fill>
      <patternFill patternType="gray125">
        <bgColor theme="0" tint="-0.14996795556505021"/>
      </patternFill>
    </fill>
    <fill>
      <patternFill patternType="gray125">
        <bgColor theme="0" tint="-0.14999847407452621"/>
      </patternFill>
    </fill>
    <fill>
      <patternFill patternType="solid">
        <fgColor rgb="FFFFFFFF"/>
        <bgColor rgb="FF000000"/>
      </patternFill>
    </fill>
    <fill>
      <patternFill patternType="solid">
        <fgColor rgb="FFDDEBF7"/>
        <bgColor rgb="FF000000"/>
      </patternFill>
    </fill>
    <fill>
      <patternFill patternType="solid">
        <fgColor rgb="FFFFFF00"/>
        <bgColor rgb="FF000000"/>
      </patternFill>
    </fill>
    <fill>
      <patternFill patternType="gray125">
        <fgColor rgb="FF000000"/>
        <bgColor rgb="FFFFFFFF"/>
      </patternFill>
    </fill>
    <fill>
      <patternFill patternType="solid">
        <fgColor rgb="FFDAEEF3"/>
        <bgColor indexed="64"/>
      </patternFill>
    </fill>
    <fill>
      <patternFill patternType="gray125">
        <bgColor theme="0" tint="-4.9989318521683403E-2"/>
      </patternFill>
    </fill>
    <fill>
      <patternFill patternType="solid">
        <fgColor rgb="FF92D050"/>
        <bgColor indexed="64"/>
      </patternFill>
    </fill>
    <fill>
      <patternFill patternType="solid">
        <fgColor theme="4"/>
        <bgColor indexed="64"/>
      </patternFill>
    </fill>
    <fill>
      <patternFill patternType="solid">
        <fgColor rgb="FFFFC000"/>
        <bgColor indexed="64"/>
      </patternFill>
    </fill>
    <fill>
      <patternFill patternType="solid">
        <fgColor theme="2"/>
        <bgColor indexed="64"/>
      </patternFill>
    </fill>
    <fill>
      <patternFill patternType="gray125">
        <bgColor rgb="FFFFFF00"/>
      </patternFill>
    </fill>
    <fill>
      <patternFill patternType="solid">
        <fgColor rgb="FFE7E6E6"/>
        <bgColor indexed="64"/>
      </patternFill>
    </fill>
    <fill>
      <patternFill patternType="solid">
        <fgColor theme="2" tint="-9.9978637043366805E-2"/>
        <bgColor rgb="FF000000"/>
      </patternFill>
    </fill>
    <fill>
      <patternFill patternType="gray125">
        <bgColor theme="2"/>
      </patternFill>
    </fill>
    <fill>
      <patternFill patternType="solid">
        <fgColor theme="2" tint="-0.49998474074526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rgb="FF000000"/>
      </right>
      <top style="thin">
        <color indexed="64"/>
      </top>
      <bottom style="thin">
        <color indexed="64"/>
      </bottom>
      <diagonal/>
    </border>
    <border>
      <left/>
      <right style="thin">
        <color indexed="64"/>
      </right>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97" fillId="0" borderId="0"/>
    <xf numFmtId="0" fontId="14" fillId="0" borderId="0"/>
    <xf numFmtId="44" fontId="1" fillId="0" borderId="0" applyFont="0" applyFill="0" applyBorder="0" applyAlignment="0" applyProtection="0"/>
    <xf numFmtId="43" fontId="1" fillId="0" borderId="0" applyFont="0" applyFill="0" applyBorder="0" applyAlignment="0" applyProtection="0"/>
    <xf numFmtId="0" fontId="97" fillId="0" borderId="0"/>
    <xf numFmtId="0" fontId="14" fillId="0" borderId="0"/>
    <xf numFmtId="43" fontId="1" fillId="0" borderId="0" applyFont="0" applyFill="0" applyBorder="0" applyAlignment="0" applyProtection="0"/>
  </cellStyleXfs>
  <cellXfs count="981">
    <xf numFmtId="0" fontId="0" fillId="0" borderId="0" xfId="0"/>
    <xf numFmtId="0" fontId="5" fillId="0" borderId="0" xfId="0" applyFont="1"/>
    <xf numFmtId="0" fontId="6" fillId="2" borderId="0" xfId="3" applyFont="1" applyFill="1" applyBorder="1" applyAlignment="1">
      <alignment vertical="center"/>
    </xf>
    <xf numFmtId="0" fontId="7" fillId="2" borderId="0" xfId="3" applyFont="1" applyFill="1" applyBorder="1" applyAlignment="1">
      <alignment vertical="center"/>
    </xf>
    <xf numFmtId="0" fontId="8" fillId="3" borderId="0" xfId="0" applyFont="1" applyFill="1" applyAlignment="1">
      <alignment vertical="center"/>
    </xf>
    <xf numFmtId="0" fontId="8" fillId="3" borderId="0" xfId="3" quotePrefix="1" applyFont="1" applyFill="1" applyBorder="1" applyAlignment="1">
      <alignment vertical="center"/>
    </xf>
    <xf numFmtId="0" fontId="10" fillId="3" borderId="0" xfId="3" quotePrefix="1" applyFont="1" applyFill="1" applyAlignment="1">
      <alignment vertical="center"/>
    </xf>
    <xf numFmtId="0" fontId="11" fillId="0" borderId="0" xfId="0" applyFont="1"/>
    <xf numFmtId="0" fontId="12" fillId="3" borderId="0" xfId="3" quotePrefix="1" applyFont="1" applyFill="1" applyAlignment="1">
      <alignment vertical="center"/>
    </xf>
    <xf numFmtId="0" fontId="9" fillId="4" borderId="0" xfId="3" applyFont="1" applyFill="1" applyAlignment="1">
      <alignment horizontal="left" vertical="center"/>
    </xf>
    <xf numFmtId="0" fontId="11" fillId="0" borderId="0" xfId="0" applyFont="1" applyAlignment="1">
      <alignment vertical="center"/>
    </xf>
    <xf numFmtId="0" fontId="13" fillId="0" borderId="0" xfId="0" applyFont="1" applyAlignment="1">
      <alignment vertical="center"/>
    </xf>
    <xf numFmtId="0" fontId="15" fillId="5" borderId="0" xfId="3" applyFont="1" applyFill="1" applyBorder="1" applyAlignment="1">
      <alignment vertical="center"/>
    </xf>
    <xf numFmtId="0" fontId="7" fillId="5" borderId="0" xfId="3" applyFont="1" applyFill="1" applyBorder="1" applyAlignment="1">
      <alignment vertical="center"/>
    </xf>
    <xf numFmtId="0" fontId="6" fillId="5" borderId="0" xfId="3" applyFont="1" applyFill="1" applyBorder="1" applyAlignment="1">
      <alignment vertical="center"/>
    </xf>
    <xf numFmtId="0" fontId="15" fillId="6" borderId="0" xfId="3" applyFont="1" applyFill="1" applyBorder="1" applyAlignment="1">
      <alignment vertical="center"/>
    </xf>
    <xf numFmtId="0" fontId="7" fillId="6" borderId="0" xfId="3" applyFont="1" applyFill="1" applyBorder="1" applyAlignment="1">
      <alignment vertical="center"/>
    </xf>
    <xf numFmtId="0" fontId="6" fillId="6" borderId="0" xfId="3" applyFont="1" applyFill="1" applyBorder="1" applyAlignment="1">
      <alignment vertical="center"/>
    </xf>
    <xf numFmtId="0" fontId="17" fillId="9" borderId="0" xfId="3" applyFont="1" applyFill="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20" fillId="10" borderId="0" xfId="0" applyFont="1" applyFill="1" applyAlignment="1">
      <alignment horizontal="center" vertical="center"/>
    </xf>
    <xf numFmtId="0" fontId="14" fillId="0" borderId="0" xfId="0" applyFont="1" applyAlignment="1">
      <alignment vertical="center"/>
    </xf>
    <xf numFmtId="0" fontId="21" fillId="10" borderId="0" xfId="0" applyFont="1" applyFill="1" applyAlignment="1">
      <alignment horizontal="center" vertical="center"/>
    </xf>
    <xf numFmtId="0" fontId="22" fillId="10" borderId="0" xfId="0" applyFont="1" applyFill="1" applyAlignment="1">
      <alignment horizontal="center" vertical="center"/>
    </xf>
    <xf numFmtId="0" fontId="15"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3" fillId="11" borderId="2" xfId="0" applyFont="1" applyFill="1" applyBorder="1" applyAlignment="1">
      <alignment horizontal="left" vertical="center"/>
    </xf>
    <xf numFmtId="0" fontId="25" fillId="0" borderId="5" xfId="0" applyFont="1" applyBorder="1" applyAlignment="1">
      <alignment vertical="center" wrapText="1"/>
    </xf>
    <xf numFmtId="0" fontId="24" fillId="10" borderId="6" xfId="0" applyFont="1" applyFill="1" applyBorder="1" applyAlignment="1">
      <alignment vertical="center" wrapText="1"/>
    </xf>
    <xf numFmtId="0" fontId="22" fillId="10" borderId="6" xfId="0" applyFont="1" applyFill="1" applyBorder="1" applyAlignment="1">
      <alignment horizontal="center" vertical="center"/>
    </xf>
    <xf numFmtId="0" fontId="26" fillId="10" borderId="6" xfId="0" applyFont="1" applyFill="1" applyBorder="1" applyAlignment="1">
      <alignment horizontal="left" vertical="center" wrapText="1"/>
    </xf>
    <xf numFmtId="0" fontId="24" fillId="12" borderId="6" xfId="0" applyFont="1" applyFill="1" applyBorder="1" applyAlignment="1">
      <alignment horizontal="left" vertical="center" wrapText="1"/>
    </xf>
    <xf numFmtId="0" fontId="24" fillId="0" borderId="6" xfId="0" applyFont="1" applyBorder="1" applyAlignment="1">
      <alignment vertical="center" wrapText="1"/>
    </xf>
    <xf numFmtId="0" fontId="27" fillId="0" borderId="0" xfId="0" applyFont="1"/>
    <xf numFmtId="0" fontId="24" fillId="0" borderId="1" xfId="0" applyFont="1" applyBorder="1" applyAlignment="1">
      <alignment horizontal="left" vertical="center" wrapText="1"/>
    </xf>
    <xf numFmtId="0" fontId="0" fillId="10" borderId="0" xfId="0" applyFill="1"/>
    <xf numFmtId="0" fontId="0" fillId="10" borderId="0" xfId="0" applyFill="1" applyAlignment="1">
      <alignment horizontal="right"/>
    </xf>
    <xf numFmtId="0" fontId="28" fillId="10" borderId="0" xfId="0" applyFont="1" applyFill="1"/>
    <xf numFmtId="0" fontId="18" fillId="10" borderId="0" xfId="0" applyFont="1" applyFill="1" applyAlignment="1">
      <alignment vertical="center"/>
    </xf>
    <xf numFmtId="0" fontId="29" fillId="0" borderId="0" xfId="0" applyFont="1" applyAlignment="1">
      <alignment horizontal="left" vertical="top"/>
    </xf>
    <xf numFmtId="0" fontId="19" fillId="10" borderId="0" xfId="0" applyFont="1" applyFill="1" applyAlignment="1">
      <alignment vertical="center"/>
    </xf>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31" fillId="11" borderId="2" xfId="0" applyFont="1" applyFill="1" applyBorder="1" applyAlignment="1">
      <alignment horizontal="left" vertical="center"/>
    </xf>
    <xf numFmtId="0" fontId="31" fillId="11" borderId="3" xfId="0" applyFont="1" applyFill="1" applyBorder="1" applyAlignment="1">
      <alignment horizontal="left" vertical="center"/>
    </xf>
    <xf numFmtId="0" fontId="32" fillId="10" borderId="5" xfId="0" applyFont="1" applyFill="1" applyBorder="1" applyAlignment="1">
      <alignment vertical="center" wrapText="1"/>
    </xf>
    <xf numFmtId="3" fontId="33" fillId="10" borderId="5" xfId="0" applyNumberFormat="1" applyFont="1" applyFill="1" applyBorder="1" applyAlignment="1">
      <alignment horizontal="center" vertical="center" wrapText="1"/>
    </xf>
    <xf numFmtId="0" fontId="34" fillId="10" borderId="0" xfId="0" applyFont="1" applyFill="1"/>
    <xf numFmtId="0" fontId="32" fillId="10" borderId="6" xfId="3" applyFont="1" applyFill="1" applyBorder="1" applyAlignment="1">
      <alignment horizontal="left" vertical="center" wrapText="1" indent="1"/>
    </xf>
    <xf numFmtId="3" fontId="33" fillId="10" borderId="6" xfId="0" applyNumberFormat="1" applyFont="1" applyFill="1" applyBorder="1" applyAlignment="1">
      <alignment horizontal="center" vertical="center" wrapText="1"/>
    </xf>
    <xf numFmtId="0" fontId="33" fillId="10" borderId="6" xfId="0" applyFont="1" applyFill="1" applyBorder="1" applyAlignment="1">
      <alignment horizontal="center" vertical="center" wrapText="1"/>
    </xf>
    <xf numFmtId="0" fontId="32" fillId="10" borderId="6" xfId="0" applyFont="1" applyFill="1" applyBorder="1" applyAlignment="1">
      <alignment vertical="center" wrapText="1"/>
    </xf>
    <xf numFmtId="0" fontId="32" fillId="10" borderId="6" xfId="0" applyFont="1" applyFill="1" applyBorder="1" applyAlignment="1">
      <alignment horizontal="left" vertical="center" wrapText="1" indent="1"/>
    </xf>
    <xf numFmtId="0" fontId="32" fillId="10" borderId="6" xfId="3" applyFont="1" applyFill="1" applyBorder="1" applyAlignment="1">
      <alignment vertical="center" wrapText="1"/>
    </xf>
    <xf numFmtId="0" fontId="36" fillId="4" borderId="6" xfId="3" applyFont="1" applyFill="1" applyBorder="1" applyAlignment="1">
      <alignment vertical="center" wrapText="1"/>
    </xf>
    <xf numFmtId="3" fontId="31" fillId="4" borderId="6" xfId="0" applyNumberFormat="1" applyFont="1" applyFill="1" applyBorder="1" applyAlignment="1">
      <alignment horizontal="center" vertical="center" wrapText="1"/>
    </xf>
    <xf numFmtId="0" fontId="33" fillId="10" borderId="6" xfId="0" applyFont="1" applyFill="1" applyBorder="1" applyAlignment="1">
      <alignment vertical="center" wrapText="1"/>
    </xf>
    <xf numFmtId="0" fontId="31" fillId="4" borderId="6" xfId="0" applyFont="1" applyFill="1" applyBorder="1" applyAlignment="1">
      <alignment vertical="center" wrapText="1"/>
    </xf>
    <xf numFmtId="0" fontId="38" fillId="10" borderId="0" xfId="0" applyFont="1" applyFill="1"/>
    <xf numFmtId="0" fontId="31" fillId="10" borderId="0" xfId="0" applyFont="1" applyFill="1" applyAlignment="1">
      <alignment horizontal="center" vertical="center" wrapText="1"/>
    </xf>
    <xf numFmtId="0" fontId="30" fillId="5" borderId="6" xfId="0" applyFont="1" applyFill="1" applyBorder="1" applyAlignment="1">
      <alignment horizontal="left" vertical="center" wrapText="1"/>
    </xf>
    <xf numFmtId="0" fontId="30" fillId="5" borderId="6" xfId="0" applyFont="1" applyFill="1" applyBorder="1" applyAlignment="1">
      <alignment horizontal="center" vertical="center" wrapText="1"/>
    </xf>
    <xf numFmtId="9" fontId="31" fillId="4" borderId="6" xfId="2" applyFont="1" applyFill="1" applyBorder="1" applyAlignment="1">
      <alignment horizontal="center" vertical="center" wrapText="1"/>
    </xf>
    <xf numFmtId="0" fontId="40" fillId="10" borderId="11" xfId="0" applyFont="1" applyFill="1" applyBorder="1" applyAlignment="1">
      <alignment vertical="center"/>
    </xf>
    <xf numFmtId="0" fontId="28" fillId="10" borderId="0" xfId="0" applyFont="1" applyFill="1" applyAlignment="1">
      <alignment horizontal="justify" vertical="center"/>
    </xf>
    <xf numFmtId="0" fontId="32" fillId="10" borderId="0" xfId="0" applyFont="1" applyFill="1" applyAlignment="1">
      <alignment vertical="center"/>
    </xf>
    <xf numFmtId="0" fontId="31" fillId="10" borderId="0" xfId="0" applyFont="1" applyFill="1" applyAlignment="1">
      <alignment vertical="center" wrapText="1"/>
    </xf>
    <xf numFmtId="3" fontId="33" fillId="0" borderId="6" xfId="0" applyNumberFormat="1" applyFont="1" applyBorder="1" applyAlignment="1">
      <alignment horizontal="center" vertical="center" wrapText="1"/>
    </xf>
    <xf numFmtId="9" fontId="33" fillId="0" borderId="6" xfId="2" applyFont="1" applyFill="1" applyBorder="1" applyAlignment="1">
      <alignment horizontal="center" vertical="center" wrapText="1"/>
    </xf>
    <xf numFmtId="9" fontId="31" fillId="10" borderId="0" xfId="0" applyNumberFormat="1" applyFont="1" applyFill="1" applyAlignment="1">
      <alignment horizontal="right" vertical="center" wrapText="1"/>
    </xf>
    <xf numFmtId="0" fontId="41" fillId="10" borderId="0" xfId="0" applyFont="1" applyFill="1" applyAlignment="1">
      <alignment vertical="center"/>
    </xf>
    <xf numFmtId="0" fontId="32" fillId="0" borderId="4" xfId="0" applyFont="1" applyBorder="1" applyAlignment="1">
      <alignment horizontal="center" vertical="center" wrapText="1"/>
    </xf>
    <xf numFmtId="0" fontId="33" fillId="10" borderId="0" xfId="0" applyFont="1" applyFill="1" applyAlignment="1">
      <alignment vertical="center" wrapText="1"/>
    </xf>
    <xf numFmtId="0" fontId="33" fillId="10" borderId="0" xfId="0" applyFont="1" applyFill="1" applyAlignment="1">
      <alignment horizontal="right" vertical="center" wrapText="1"/>
    </xf>
    <xf numFmtId="0" fontId="42" fillId="10" borderId="0" xfId="0" applyFont="1" applyFill="1"/>
    <xf numFmtId="0" fontId="42" fillId="10" borderId="0" xfId="0" applyFont="1" applyFill="1" applyAlignment="1">
      <alignment horizontal="right"/>
    </xf>
    <xf numFmtId="0" fontId="32" fillId="10" borderId="0" xfId="0" applyFont="1" applyFill="1"/>
    <xf numFmtId="0" fontId="28" fillId="10" borderId="0" xfId="0" applyFont="1" applyFill="1" applyAlignment="1">
      <alignment horizontal="left" vertical="top" wrapText="1"/>
    </xf>
    <xf numFmtId="0" fontId="40" fillId="10" borderId="0" xfId="0" applyFont="1" applyFill="1" applyAlignment="1">
      <alignment horizontal="left" vertical="center"/>
    </xf>
    <xf numFmtId="0" fontId="29" fillId="10" borderId="0" xfId="0" applyFont="1" applyFill="1" applyAlignment="1">
      <alignment vertical="top"/>
    </xf>
    <xf numFmtId="0" fontId="43" fillId="10" borderId="0" xfId="0" applyFont="1" applyFill="1" applyAlignment="1">
      <alignment vertical="center"/>
    </xf>
    <xf numFmtId="0" fontId="0" fillId="10" borderId="0" xfId="0" applyFill="1" applyAlignment="1">
      <alignment vertical="center"/>
    </xf>
    <xf numFmtId="0" fontId="33" fillId="0" borderId="6" xfId="0" applyFont="1" applyBorder="1" applyAlignment="1">
      <alignment horizontal="center" vertical="center" wrapText="1"/>
    </xf>
    <xf numFmtId="4" fontId="33" fillId="10" borderId="6" xfId="0" applyNumberFormat="1" applyFont="1" applyFill="1" applyBorder="1" applyAlignment="1">
      <alignment horizontal="center" vertical="center" wrapText="1"/>
    </xf>
    <xf numFmtId="0" fontId="44" fillId="10" borderId="0" xfId="0" applyFont="1" applyFill="1"/>
    <xf numFmtId="0" fontId="0" fillId="10" borderId="0" xfId="0" applyFill="1" applyAlignment="1">
      <alignment horizontal="left" vertical="center"/>
    </xf>
    <xf numFmtId="0" fontId="0" fillId="10" borderId="0" xfId="0" applyFill="1" applyAlignment="1">
      <alignment horizontal="center" vertical="center"/>
    </xf>
    <xf numFmtId="0" fontId="28" fillId="10" borderId="0" xfId="0" applyFont="1" applyFill="1" applyAlignment="1">
      <alignment vertical="center"/>
    </xf>
    <xf numFmtId="0" fontId="43" fillId="10" borderId="0" xfId="0" applyFont="1" applyFill="1" applyAlignment="1">
      <alignment horizontal="left" vertical="center"/>
    </xf>
    <xf numFmtId="0" fontId="30" fillId="5" borderId="12" xfId="0" applyFont="1" applyFill="1" applyBorder="1" applyAlignment="1">
      <alignment horizontal="left" vertical="center" wrapText="1"/>
    </xf>
    <xf numFmtId="0" fontId="30" fillId="5" borderId="12" xfId="0" applyFont="1" applyFill="1" applyBorder="1" applyAlignment="1">
      <alignment horizontal="center" vertical="center" wrapText="1"/>
    </xf>
    <xf numFmtId="0" fontId="31" fillId="11" borderId="2" xfId="0" applyFont="1" applyFill="1" applyBorder="1" applyAlignment="1">
      <alignment horizontal="left" vertical="center" wrapText="1"/>
    </xf>
    <xf numFmtId="0" fontId="31" fillId="11" borderId="3" xfId="0" applyFont="1" applyFill="1" applyBorder="1" applyAlignment="1">
      <alignment horizontal="left" vertical="center" wrapText="1"/>
    </xf>
    <xf numFmtId="0" fontId="31" fillId="11" borderId="3" xfId="0" applyFont="1" applyFill="1" applyBorder="1" applyAlignment="1">
      <alignment horizontal="center" vertical="center" wrapText="1"/>
    </xf>
    <xf numFmtId="0" fontId="33" fillId="11" borderId="3" xfId="0" applyFont="1" applyFill="1" applyBorder="1" applyAlignment="1">
      <alignment horizontal="center" vertical="center" wrapText="1"/>
    </xf>
    <xf numFmtId="0" fontId="33" fillId="11" borderId="4" xfId="0" applyFont="1" applyFill="1" applyBorder="1" applyAlignment="1">
      <alignment horizontal="center" vertical="center" wrapText="1"/>
    </xf>
    <xf numFmtId="9" fontId="33" fillId="10" borderId="5" xfId="0" applyNumberFormat="1" applyFont="1" applyFill="1" applyBorder="1" applyAlignment="1">
      <alignment horizontal="center" vertical="center" wrapText="1"/>
    </xf>
    <xf numFmtId="9" fontId="33" fillId="10" borderId="6" xfId="0" applyNumberFormat="1" applyFont="1" applyFill="1" applyBorder="1" applyAlignment="1">
      <alignment horizontal="center" vertical="center" wrapText="1"/>
    </xf>
    <xf numFmtId="9" fontId="33" fillId="10" borderId="1" xfId="0" applyNumberFormat="1" applyFont="1" applyFill="1" applyBorder="1" applyAlignment="1">
      <alignment horizontal="center" vertical="center" wrapText="1"/>
    </xf>
    <xf numFmtId="9" fontId="32" fillId="10" borderId="1" xfId="0" applyNumberFormat="1" applyFont="1" applyFill="1" applyBorder="1" applyAlignment="1">
      <alignment horizontal="center" vertical="center" wrapText="1"/>
    </xf>
    <xf numFmtId="0" fontId="32" fillId="0" borderId="6" xfId="0" applyFont="1" applyBorder="1" applyAlignment="1">
      <alignment horizontal="center" vertical="center" wrapText="1"/>
    </xf>
    <xf numFmtId="0" fontId="28" fillId="10" borderId="0" xfId="0" applyFont="1" applyFill="1" applyAlignment="1">
      <alignment horizontal="left" vertical="center"/>
    </xf>
    <xf numFmtId="0" fontId="34" fillId="10" borderId="0" xfId="0" applyFont="1" applyFill="1" applyAlignment="1">
      <alignment vertical="center"/>
    </xf>
    <xf numFmtId="0" fontId="32" fillId="10" borderId="0" xfId="0" applyFont="1" applyFill="1" applyAlignment="1">
      <alignment horizontal="left" vertical="center"/>
    </xf>
    <xf numFmtId="0" fontId="47" fillId="10" borderId="0" xfId="0" applyFont="1" applyFill="1" applyAlignment="1">
      <alignment horizontal="left" vertical="center"/>
    </xf>
    <xf numFmtId="0" fontId="44" fillId="10" borderId="0" xfId="0" applyFont="1" applyFill="1" applyAlignment="1">
      <alignment horizontal="left" vertical="center"/>
    </xf>
    <xf numFmtId="0" fontId="44" fillId="10" borderId="0" xfId="0" applyFont="1" applyFill="1" applyAlignment="1">
      <alignment horizontal="center" vertical="center"/>
    </xf>
    <xf numFmtId="0" fontId="44" fillId="10" borderId="0" xfId="0" applyFont="1" applyFill="1" applyAlignment="1">
      <alignment vertical="center"/>
    </xf>
    <xf numFmtId="0" fontId="33" fillId="10" borderId="6" xfId="0" applyFont="1" applyFill="1" applyBorder="1" applyAlignment="1">
      <alignment horizontal="left" vertical="center" wrapText="1"/>
    </xf>
    <xf numFmtId="2" fontId="33" fillId="0" borderId="6" xfId="0" applyNumberFormat="1" applyFont="1" applyBorder="1" applyAlignment="1">
      <alignment horizontal="center" vertical="center" wrapText="1"/>
    </xf>
    <xf numFmtId="164" fontId="33" fillId="10" borderId="6" xfId="0" applyNumberFormat="1" applyFont="1" applyFill="1" applyBorder="1" applyAlignment="1">
      <alignment horizontal="center" vertical="center" wrapText="1"/>
    </xf>
    <xf numFmtId="0" fontId="33" fillId="10" borderId="0" xfId="0" applyFont="1" applyFill="1" applyAlignment="1">
      <alignment horizontal="center" vertical="center" wrapText="1"/>
    </xf>
    <xf numFmtId="0" fontId="28" fillId="10" borderId="0" xfId="0" applyFont="1" applyFill="1" applyAlignment="1">
      <alignment vertical="top" wrapText="1"/>
    </xf>
    <xf numFmtId="9" fontId="33" fillId="0" borderId="6" xfId="0" applyNumberFormat="1" applyFont="1" applyBorder="1" applyAlignment="1">
      <alignment horizontal="center" vertical="center" wrapText="1"/>
    </xf>
    <xf numFmtId="165" fontId="28" fillId="0" borderId="6" xfId="0" applyNumberFormat="1" applyFont="1" applyBorder="1" applyAlignment="1">
      <alignment horizontal="center" vertical="center"/>
    </xf>
    <xf numFmtId="9" fontId="28" fillId="0" borderId="6" xfId="2" applyFont="1" applyFill="1" applyBorder="1" applyAlignment="1">
      <alignment horizontal="center" vertical="center"/>
    </xf>
    <xf numFmtId="165" fontId="33" fillId="10" borderId="6" xfId="0" applyNumberFormat="1" applyFont="1" applyFill="1" applyBorder="1" applyAlignment="1">
      <alignment horizontal="center" vertical="center" wrapText="1"/>
    </xf>
    <xf numFmtId="0" fontId="28" fillId="0" borderId="6" xfId="0" applyFont="1" applyBorder="1" applyAlignment="1">
      <alignment horizontal="center" vertical="center"/>
    </xf>
    <xf numFmtId="166" fontId="33" fillId="0" borderId="6" xfId="0" applyNumberFormat="1" applyFont="1" applyBorder="1" applyAlignment="1">
      <alignment horizontal="center" vertical="center" wrapText="1"/>
    </xf>
    <xf numFmtId="166" fontId="33" fillId="10" borderId="6" xfId="0" applyNumberFormat="1" applyFont="1" applyFill="1" applyBorder="1" applyAlignment="1">
      <alignment horizontal="center" vertical="center" wrapText="1"/>
    </xf>
    <xf numFmtId="9" fontId="28" fillId="0" borderId="6" xfId="2" applyFont="1" applyFill="1" applyBorder="1" applyAlignment="1">
      <alignment horizontal="center" vertical="center" wrapText="1"/>
    </xf>
    <xf numFmtId="166" fontId="33" fillId="0" borderId="1" xfId="0" applyNumberFormat="1" applyFont="1" applyBorder="1" applyAlignment="1">
      <alignment horizontal="center" vertical="center" wrapText="1"/>
    </xf>
    <xf numFmtId="166" fontId="33" fillId="10" borderId="1" xfId="0" applyNumberFormat="1" applyFont="1" applyFill="1" applyBorder="1" applyAlignment="1">
      <alignment horizontal="center" vertical="center" wrapText="1"/>
    </xf>
    <xf numFmtId="165" fontId="31" fillId="4" borderId="5" xfId="0" applyNumberFormat="1" applyFont="1" applyFill="1" applyBorder="1" applyAlignment="1">
      <alignment horizontal="center" vertical="center" wrapText="1"/>
    </xf>
    <xf numFmtId="165" fontId="31" fillId="4" borderId="6" xfId="0" applyNumberFormat="1" applyFont="1" applyFill="1" applyBorder="1" applyAlignment="1">
      <alignment horizontal="center" vertical="center" wrapText="1"/>
    </xf>
    <xf numFmtId="166" fontId="31" fillId="4" borderId="6" xfId="0" applyNumberFormat="1" applyFont="1" applyFill="1" applyBorder="1" applyAlignment="1">
      <alignment horizontal="center" vertical="center" wrapText="1"/>
    </xf>
    <xf numFmtId="165" fontId="33" fillId="0" borderId="6" xfId="0" applyNumberFormat="1" applyFont="1" applyBorder="1" applyAlignment="1">
      <alignment horizontal="center" vertical="center" wrapText="1"/>
    </xf>
    <xf numFmtId="165" fontId="33" fillId="0" borderId="6" xfId="2" applyNumberFormat="1" applyFont="1" applyFill="1" applyBorder="1" applyAlignment="1">
      <alignment horizontal="center" vertical="center" wrapText="1"/>
    </xf>
    <xf numFmtId="0" fontId="30" fillId="5" borderId="6" xfId="0" applyFont="1" applyFill="1" applyBorder="1" applyAlignment="1">
      <alignment horizontal="left" vertical="center"/>
    </xf>
    <xf numFmtId="0" fontId="28" fillId="0" borderId="0" xfId="0" applyFont="1" applyAlignment="1">
      <alignment vertical="center"/>
    </xf>
    <xf numFmtId="0" fontId="33" fillId="0" borderId="6" xfId="0" applyFont="1" applyBorder="1" applyAlignment="1">
      <alignment horizontal="left" vertical="center"/>
    </xf>
    <xf numFmtId="0" fontId="32" fillId="0" borderId="6" xfId="0" applyFont="1" applyBorder="1" applyAlignment="1">
      <alignment horizontal="center" vertical="center"/>
    </xf>
    <xf numFmtId="9" fontId="32" fillId="0" borderId="6" xfId="2" applyFont="1" applyBorder="1" applyAlignment="1">
      <alignment horizontal="center" vertical="center"/>
    </xf>
    <xf numFmtId="165" fontId="32" fillId="0" borderId="6" xfId="2" applyNumberFormat="1" applyFont="1" applyFill="1" applyBorder="1" applyAlignment="1">
      <alignment horizontal="center" vertical="center"/>
    </xf>
    <xf numFmtId="165" fontId="32" fillId="0" borderId="6" xfId="2" applyNumberFormat="1" applyFont="1" applyFill="1" applyBorder="1" applyAlignment="1">
      <alignment horizontal="center" vertical="center" wrapText="1"/>
    </xf>
    <xf numFmtId="9" fontId="33" fillId="0" borderId="5" xfId="0" applyNumberFormat="1" applyFont="1" applyBorder="1" applyAlignment="1">
      <alignment horizontal="center" vertical="center" wrapText="1"/>
    </xf>
    <xf numFmtId="0" fontId="28" fillId="10" borderId="6" xfId="0" applyFont="1" applyFill="1" applyBorder="1" applyAlignment="1">
      <alignment horizontal="left" vertical="center"/>
    </xf>
    <xf numFmtId="0" fontId="28" fillId="10" borderId="6" xfId="0" applyFont="1" applyFill="1" applyBorder="1" applyAlignment="1">
      <alignment horizontal="left" vertical="center" wrapText="1"/>
    </xf>
    <xf numFmtId="0" fontId="43" fillId="10" borderId="0" xfId="0" applyFont="1" applyFill="1" applyAlignment="1">
      <alignment horizontal="left"/>
    </xf>
    <xf numFmtId="0" fontId="32" fillId="10" borderId="0" xfId="0" applyFont="1" applyFill="1" applyAlignment="1">
      <alignment horizontal="left" vertical="top"/>
    </xf>
    <xf numFmtId="0" fontId="32" fillId="10" borderId="0" xfId="0" applyFont="1" applyFill="1" applyAlignment="1">
      <alignment horizontal="left" vertical="top" wrapText="1"/>
    </xf>
    <xf numFmtId="0" fontId="31" fillId="10" borderId="0" xfId="0" applyFont="1" applyFill="1" applyAlignment="1">
      <alignment horizontal="right" vertical="center" wrapText="1"/>
    </xf>
    <xf numFmtId="0" fontId="31" fillId="11" borderId="6" xfId="0" applyFont="1" applyFill="1" applyBorder="1" applyAlignment="1">
      <alignment horizontal="left" vertical="center" wrapText="1"/>
    </xf>
    <xf numFmtId="0" fontId="31" fillId="11" borderId="6" xfId="0" applyFont="1" applyFill="1" applyBorder="1" applyAlignment="1">
      <alignment horizontal="center" vertical="center" wrapText="1"/>
    </xf>
    <xf numFmtId="0" fontId="53" fillId="10" borderId="0" xfId="0" applyFont="1" applyFill="1"/>
    <xf numFmtId="0" fontId="28" fillId="0" borderId="6" xfId="0" applyFont="1" applyBorder="1" applyAlignment="1">
      <alignment horizontal="left" indent="1"/>
    </xf>
    <xf numFmtId="3" fontId="28" fillId="0" borderId="6" xfId="0" applyNumberFormat="1" applyFont="1" applyBorder="1" applyAlignment="1">
      <alignment horizontal="center"/>
    </xf>
    <xf numFmtId="165" fontId="28" fillId="0" borderId="6" xfId="2" applyNumberFormat="1" applyFont="1" applyFill="1" applyBorder="1" applyAlignment="1">
      <alignment horizontal="center"/>
    </xf>
    <xf numFmtId="0" fontId="28" fillId="10" borderId="6" xfId="0" applyFont="1" applyFill="1" applyBorder="1" applyAlignment="1">
      <alignment horizontal="left" indent="1"/>
    </xf>
    <xf numFmtId="3" fontId="28" fillId="0" borderId="6" xfId="0" applyNumberFormat="1" applyFont="1" applyBorder="1" applyAlignment="1">
      <alignment horizontal="center" vertical="center"/>
    </xf>
    <xf numFmtId="0" fontId="28" fillId="0" borderId="0" xfId="0" applyFont="1"/>
    <xf numFmtId="2" fontId="33" fillId="10" borderId="6" xfId="0" applyNumberFormat="1" applyFont="1" applyFill="1" applyBorder="1" applyAlignment="1">
      <alignment horizontal="center" vertical="center" wrapText="1"/>
    </xf>
    <xf numFmtId="0" fontId="30" fillId="5" borderId="6" xfId="0" applyFont="1" applyFill="1" applyBorder="1" applyAlignment="1">
      <alignment horizontal="right" vertical="center" wrapText="1"/>
    </xf>
    <xf numFmtId="0" fontId="31" fillId="10" borderId="6" xfId="0" applyFont="1" applyFill="1" applyBorder="1" applyAlignment="1">
      <alignment vertical="center" wrapText="1"/>
    </xf>
    <xf numFmtId="0" fontId="28" fillId="10" borderId="0" xfId="0" applyFont="1" applyFill="1" applyAlignment="1">
      <alignment horizontal="left" vertical="top"/>
    </xf>
    <xf numFmtId="0" fontId="28" fillId="10" borderId="6" xfId="0" applyFont="1" applyFill="1" applyBorder="1" applyAlignment="1">
      <alignment vertical="center"/>
    </xf>
    <xf numFmtId="0" fontId="32" fillId="10" borderId="6" xfId="0" applyFont="1" applyFill="1" applyBorder="1" applyAlignment="1">
      <alignment horizontal="center" vertical="center"/>
    </xf>
    <xf numFmtId="0" fontId="32" fillId="10" borderId="6" xfId="0" applyFont="1" applyFill="1" applyBorder="1" applyAlignment="1">
      <alignment horizontal="center" vertical="center" wrapText="1"/>
    </xf>
    <xf numFmtId="164" fontId="28" fillId="0" borderId="6" xfId="0" applyNumberFormat="1" applyFont="1" applyBorder="1" applyAlignment="1">
      <alignment horizontal="center" vertical="center"/>
    </xf>
    <xf numFmtId="0" fontId="33" fillId="0" borderId="5" xfId="0" applyFont="1" applyBorder="1" applyAlignment="1">
      <alignment horizontal="center" vertical="center" wrapText="1"/>
    </xf>
    <xf numFmtId="0" fontId="30" fillId="5" borderId="3" xfId="0" applyFont="1" applyFill="1" applyBorder="1" applyAlignment="1">
      <alignment horizontal="center" vertical="center" wrapText="1"/>
    </xf>
    <xf numFmtId="0" fontId="33" fillId="10" borderId="5" xfId="0" applyFont="1" applyFill="1" applyBorder="1" applyAlignment="1">
      <alignment vertical="center" wrapText="1"/>
    </xf>
    <xf numFmtId="0" fontId="33" fillId="0" borderId="0" xfId="0" applyFont="1" applyAlignment="1">
      <alignment horizontal="center" vertical="center" wrapText="1"/>
    </xf>
    <xf numFmtId="164" fontId="33" fillId="0" borderId="6" xfId="0" applyNumberFormat="1" applyFont="1" applyBorder="1" applyAlignment="1">
      <alignment horizontal="center" vertical="center" wrapText="1"/>
    </xf>
    <xf numFmtId="0" fontId="44" fillId="5" borderId="6" xfId="0" applyFont="1" applyFill="1" applyBorder="1" applyAlignment="1">
      <alignment vertical="center"/>
    </xf>
    <xf numFmtId="164" fontId="31" fillId="4" borderId="6" xfId="0" applyNumberFormat="1" applyFont="1" applyFill="1" applyBorder="1" applyAlignment="1">
      <alignment horizontal="center" vertical="center" wrapText="1"/>
    </xf>
    <xf numFmtId="0" fontId="17" fillId="9" borderId="0" xfId="3" applyFont="1" applyFill="1" applyBorder="1" applyAlignment="1">
      <alignment vertical="center"/>
    </xf>
    <xf numFmtId="0" fontId="0" fillId="0" borderId="0" xfId="0" applyAlignment="1">
      <alignment vertical="center"/>
    </xf>
    <xf numFmtId="0" fontId="55" fillId="0" borderId="0" xfId="0" applyFont="1" applyAlignment="1">
      <alignment vertical="center"/>
    </xf>
    <xf numFmtId="0" fontId="5" fillId="0" borderId="0" xfId="0" applyFont="1" applyAlignment="1">
      <alignment vertical="center" wrapText="1"/>
    </xf>
    <xf numFmtId="0" fontId="15" fillId="15" borderId="1" xfId="0" applyFont="1" applyFill="1" applyBorder="1" applyAlignment="1">
      <alignment horizontal="left" vertical="center" wrapText="1"/>
    </xf>
    <xf numFmtId="0" fontId="15" fillId="15" borderId="12"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left" vertical="center" wrapText="1"/>
    </xf>
    <xf numFmtId="0" fontId="24" fillId="0" borderId="8" xfId="0" applyFont="1" applyBorder="1" applyAlignment="1">
      <alignment horizontal="left" vertical="top" wrapText="1"/>
    </xf>
    <xf numFmtId="0" fontId="25" fillId="0" borderId="8" xfId="0" applyFont="1" applyBorder="1" applyAlignment="1">
      <alignment horizontal="left" vertical="top" wrapText="1"/>
    </xf>
    <xf numFmtId="0" fontId="56" fillId="10" borderId="5"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6" xfId="0" applyFont="1" applyBorder="1" applyAlignment="1">
      <alignment vertical="top" wrapText="1"/>
    </xf>
    <xf numFmtId="0" fontId="25" fillId="0" borderId="5" xfId="0" applyFont="1" applyBorder="1" applyAlignment="1">
      <alignment vertical="top" wrapText="1"/>
    </xf>
    <xf numFmtId="0" fontId="24" fillId="0" borderId="6" xfId="0" applyFont="1" applyBorder="1" applyAlignment="1">
      <alignment vertical="top" wrapText="1"/>
    </xf>
    <xf numFmtId="0" fontId="26" fillId="0" borderId="6" xfId="0" applyFont="1" applyBorder="1" applyAlignment="1">
      <alignment vertical="top" wrapText="1"/>
    </xf>
    <xf numFmtId="0" fontId="26" fillId="0" borderId="5" xfId="0" applyFont="1" applyBorder="1" applyAlignment="1">
      <alignment vertical="top" wrapText="1"/>
    </xf>
    <xf numFmtId="0" fontId="15" fillId="5" borderId="12" xfId="0" applyFont="1" applyFill="1" applyBorder="1" applyAlignment="1">
      <alignment vertical="center" wrapText="1"/>
    </xf>
    <xf numFmtId="0" fontId="15" fillId="5" borderId="1" xfId="0" applyFont="1" applyFill="1" applyBorder="1" applyAlignment="1">
      <alignment vertical="center" wrapText="1"/>
    </xf>
    <xf numFmtId="0" fontId="23" fillId="11" borderId="2" xfId="0" applyFont="1" applyFill="1" applyBorder="1" applyAlignment="1">
      <alignment vertical="center" wrapText="1"/>
    </xf>
    <xf numFmtId="0" fontId="23" fillId="11" borderId="3" xfId="0" applyFont="1" applyFill="1" applyBorder="1" applyAlignment="1">
      <alignment vertical="center" wrapText="1"/>
    </xf>
    <xf numFmtId="0" fontId="2" fillId="11" borderId="3" xfId="0" applyFont="1" applyFill="1" applyBorder="1" applyAlignment="1">
      <alignment vertical="center" wrapText="1"/>
    </xf>
    <xf numFmtId="0" fontId="2" fillId="11" borderId="4" xfId="0" applyFont="1" applyFill="1" applyBorder="1" applyAlignment="1">
      <alignment vertical="center" wrapText="1"/>
    </xf>
    <xf numFmtId="0" fontId="25" fillId="0" borderId="0" xfId="0" applyFont="1" applyAlignment="1">
      <alignment vertical="center"/>
    </xf>
    <xf numFmtId="0" fontId="24" fillId="10" borderId="5" xfId="0" applyFont="1" applyFill="1" applyBorder="1" applyAlignment="1">
      <alignment vertical="center" wrapText="1"/>
    </xf>
    <xf numFmtId="0" fontId="21" fillId="10" borderId="6" xfId="0" applyFont="1" applyFill="1" applyBorder="1" applyAlignment="1">
      <alignment horizontal="center" vertical="center"/>
    </xf>
    <xf numFmtId="0" fontId="24" fillId="0" borderId="6" xfId="0" applyFont="1" applyBorder="1" applyAlignment="1">
      <alignment horizontal="center" vertical="center" wrapText="1"/>
    </xf>
    <xf numFmtId="0" fontId="23" fillId="11" borderId="2" xfId="0" applyFont="1" applyFill="1" applyBorder="1" applyAlignment="1">
      <alignment vertical="center"/>
    </xf>
    <xf numFmtId="0" fontId="24" fillId="0" borderId="6" xfId="0" applyFont="1" applyBorder="1" applyAlignment="1">
      <alignment horizontal="left" vertical="center" wrapText="1"/>
    </xf>
    <xf numFmtId="0" fontId="24" fillId="0" borderId="1" xfId="0" applyFont="1" applyBorder="1" applyAlignment="1">
      <alignment vertical="center" wrapText="1"/>
    </xf>
    <xf numFmtId="0" fontId="5" fillId="0" borderId="0" xfId="0" applyFont="1" applyAlignment="1">
      <alignment horizontal="center" vertical="center" wrapText="1"/>
    </xf>
    <xf numFmtId="0" fontId="19" fillId="0" borderId="0" xfId="0" applyFont="1" applyAlignment="1">
      <alignment horizontal="center" vertical="center"/>
    </xf>
    <xf numFmtId="0" fontId="33" fillId="0" borderId="6" xfId="0" applyFont="1" applyBorder="1" applyAlignment="1">
      <alignment vertical="center" wrapText="1"/>
    </xf>
    <xf numFmtId="0" fontId="47" fillId="10" borderId="0" xfId="0" applyFont="1" applyFill="1"/>
    <xf numFmtId="3" fontId="31" fillId="10" borderId="0" xfId="0" applyNumberFormat="1" applyFont="1" applyFill="1" applyAlignment="1">
      <alignment horizontal="center" vertical="center" wrapText="1"/>
    </xf>
    <xf numFmtId="3" fontId="33" fillId="0" borderId="5" xfId="0" applyNumberFormat="1" applyFont="1" applyBorder="1" applyAlignment="1">
      <alignment horizontal="center" vertical="center" wrapText="1"/>
    </xf>
    <xf numFmtId="3" fontId="33" fillId="10" borderId="0" xfId="0" applyNumberFormat="1" applyFont="1" applyFill="1" applyAlignment="1">
      <alignment horizontal="center" vertical="center" wrapText="1"/>
    </xf>
    <xf numFmtId="3" fontId="33" fillId="10" borderId="0" xfId="0" applyNumberFormat="1" applyFont="1" applyFill="1" applyAlignment="1">
      <alignment horizontal="right" vertical="center" wrapText="1"/>
    </xf>
    <xf numFmtId="3" fontId="32" fillId="10" borderId="0" xfId="0" applyNumberFormat="1" applyFont="1" applyFill="1" applyAlignment="1">
      <alignment horizontal="right" vertical="center" wrapText="1"/>
    </xf>
    <xf numFmtId="9" fontId="33" fillId="10" borderId="0" xfId="0" applyNumberFormat="1" applyFont="1" applyFill="1" applyAlignment="1">
      <alignment horizontal="center" vertical="center" wrapText="1"/>
    </xf>
    <xf numFmtId="4" fontId="31" fillId="4" borderId="6" xfId="0" applyNumberFormat="1" applyFont="1" applyFill="1" applyBorder="1" applyAlignment="1">
      <alignment horizontal="center" vertical="center" wrapText="1"/>
    </xf>
    <xf numFmtId="0" fontId="31" fillId="4" borderId="6" xfId="0" applyFont="1" applyFill="1" applyBorder="1" applyAlignment="1">
      <alignment horizontal="center" vertical="center" wrapText="1"/>
    </xf>
    <xf numFmtId="0" fontId="63" fillId="10" borderId="0" xfId="0" applyFont="1" applyFill="1" applyAlignment="1">
      <alignment vertical="center"/>
    </xf>
    <xf numFmtId="9" fontId="33" fillId="10" borderId="0" xfId="0" applyNumberFormat="1" applyFont="1" applyFill="1" applyAlignment="1">
      <alignment horizontal="right" vertical="center" wrapText="1"/>
    </xf>
    <xf numFmtId="3" fontId="28" fillId="10" borderId="6" xfId="0" applyNumberFormat="1" applyFont="1" applyFill="1" applyBorder="1" applyAlignment="1">
      <alignment horizontal="center" vertical="center"/>
    </xf>
    <xf numFmtId="0" fontId="64" fillId="10" borderId="0" xfId="0" applyFont="1" applyFill="1" applyAlignment="1">
      <alignment vertical="center"/>
    </xf>
    <xf numFmtId="0" fontId="30" fillId="11" borderId="4" xfId="0" applyFont="1" applyFill="1" applyBorder="1" applyAlignment="1">
      <alignment horizontal="center" vertical="center" wrapText="1"/>
    </xf>
    <xf numFmtId="0" fontId="66" fillId="10" borderId="0" xfId="3" applyFont="1" applyFill="1" applyAlignment="1">
      <alignment horizontal="justify" vertical="center"/>
    </xf>
    <xf numFmtId="0" fontId="61" fillId="10" borderId="0" xfId="0" applyFont="1" applyFill="1"/>
    <xf numFmtId="0" fontId="36" fillId="10" borderId="0" xfId="0" applyFont="1" applyFill="1" applyAlignment="1">
      <alignment vertical="center"/>
    </xf>
    <xf numFmtId="3" fontId="32" fillId="10" borderId="6" xfId="0" applyNumberFormat="1" applyFont="1" applyFill="1" applyBorder="1" applyAlignment="1">
      <alignment horizontal="center" vertical="center" wrapText="1"/>
    </xf>
    <xf numFmtId="0" fontId="36" fillId="4" borderId="6" xfId="0" applyFont="1" applyFill="1" applyBorder="1" applyAlignment="1">
      <alignment vertical="center" wrapText="1"/>
    </xf>
    <xf numFmtId="0" fontId="47" fillId="10" borderId="0" xfId="0" applyFont="1" applyFill="1" applyAlignment="1">
      <alignment vertical="center"/>
    </xf>
    <xf numFmtId="0" fontId="28" fillId="10" borderId="6" xfId="0" applyFont="1" applyFill="1" applyBorder="1" applyAlignment="1">
      <alignment horizontal="center" vertical="center"/>
    </xf>
    <xf numFmtId="1" fontId="33" fillId="10" borderId="6" xfId="0" applyNumberFormat="1" applyFont="1" applyFill="1" applyBorder="1" applyAlignment="1">
      <alignment horizontal="center" vertical="center" wrapText="1"/>
    </xf>
    <xf numFmtId="2" fontId="31" fillId="4" borderId="6" xfId="0" applyNumberFormat="1" applyFont="1" applyFill="1" applyBorder="1" applyAlignment="1">
      <alignment horizontal="center" vertical="center" wrapText="1"/>
    </xf>
    <xf numFmtId="0" fontId="69" fillId="10" borderId="0" xfId="0" applyFont="1" applyFill="1" applyAlignment="1">
      <alignment vertical="center"/>
    </xf>
    <xf numFmtId="0" fontId="36" fillId="11" borderId="2" xfId="0" applyFont="1" applyFill="1" applyBorder="1" applyAlignment="1">
      <alignment horizontal="left" vertical="center" wrapText="1"/>
    </xf>
    <xf numFmtId="0" fontId="36" fillId="11" borderId="3" xfId="0" applyFont="1" applyFill="1" applyBorder="1" applyAlignment="1">
      <alignment horizontal="left" vertical="center" wrapText="1"/>
    </xf>
    <xf numFmtId="0" fontId="30" fillId="11" borderId="3" xfId="0" applyFont="1" applyFill="1" applyBorder="1" applyAlignment="1">
      <alignment horizontal="center" vertical="center" wrapText="1"/>
    </xf>
    <xf numFmtId="3" fontId="33" fillId="20" borderId="6" xfId="0" applyNumberFormat="1" applyFont="1" applyFill="1" applyBorder="1" applyAlignment="1">
      <alignment horizontal="center" vertical="center" wrapText="1"/>
    </xf>
    <xf numFmtId="3" fontId="28" fillId="20" borderId="6" xfId="0" applyNumberFormat="1" applyFont="1" applyFill="1" applyBorder="1" applyAlignment="1">
      <alignment horizontal="center" vertical="center"/>
    </xf>
    <xf numFmtId="0" fontId="36" fillId="11" borderId="2" xfId="0" applyFont="1" applyFill="1" applyBorder="1" applyAlignment="1">
      <alignment horizontal="left" vertical="center"/>
    </xf>
    <xf numFmtId="0" fontId="36" fillId="11" borderId="3" xfId="0" applyFont="1" applyFill="1" applyBorder="1" applyAlignment="1">
      <alignment horizontal="left" vertical="center"/>
    </xf>
    <xf numFmtId="3" fontId="31" fillId="21" borderId="6" xfId="0" applyNumberFormat="1" applyFont="1" applyFill="1" applyBorder="1" applyAlignment="1">
      <alignment horizontal="center" vertical="center" wrapText="1"/>
    </xf>
    <xf numFmtId="9" fontId="28" fillId="10" borderId="0" xfId="2" applyFont="1" applyFill="1"/>
    <xf numFmtId="4" fontId="32" fillId="10" borderId="6" xfId="0" applyNumberFormat="1" applyFont="1" applyFill="1" applyBorder="1" applyAlignment="1">
      <alignment horizontal="center" vertical="center" wrapText="1"/>
    </xf>
    <xf numFmtId="9" fontId="33" fillId="10" borderId="0" xfId="2" applyFont="1" applyFill="1" applyAlignment="1">
      <alignment vertical="center" wrapText="1"/>
    </xf>
    <xf numFmtId="0" fontId="28" fillId="10" borderId="0" xfId="0" applyFont="1" applyFill="1" applyAlignment="1">
      <alignment horizontal="center" vertical="center"/>
    </xf>
    <xf numFmtId="0" fontId="29" fillId="0" borderId="0" xfId="0" applyFont="1" applyAlignment="1">
      <alignment horizontal="left" vertical="center"/>
    </xf>
    <xf numFmtId="0" fontId="70" fillId="10" borderId="0" xfId="0" applyFont="1" applyFill="1" applyAlignment="1">
      <alignment vertical="center"/>
    </xf>
    <xf numFmtId="0" fontId="30" fillId="15" borderId="6" xfId="0" applyFont="1" applyFill="1" applyBorder="1" applyAlignment="1">
      <alignment horizontal="left" vertical="center" wrapText="1"/>
    </xf>
    <xf numFmtId="0" fontId="30" fillId="15" borderId="6" xfId="0" applyFont="1" applyFill="1" applyBorder="1" applyAlignment="1">
      <alignment horizontal="center" vertical="center" wrapText="1"/>
    </xf>
    <xf numFmtId="0" fontId="28" fillId="10" borderId="2" xfId="0" applyFont="1" applyFill="1" applyBorder="1" applyAlignment="1">
      <alignment horizontal="center" vertical="center" wrapText="1"/>
    </xf>
    <xf numFmtId="0" fontId="28" fillId="10" borderId="6" xfId="0" applyFont="1" applyFill="1" applyBorder="1" applyAlignment="1">
      <alignment horizontal="center" vertical="center" wrapText="1"/>
    </xf>
    <xf numFmtId="0" fontId="61" fillId="11" borderId="6" xfId="0" applyFont="1" applyFill="1" applyBorder="1" applyAlignment="1">
      <alignment vertical="center" wrapText="1"/>
    </xf>
    <xf numFmtId="0" fontId="28" fillId="11" borderId="6" xfId="0" applyFont="1" applyFill="1" applyBorder="1" applyAlignment="1">
      <alignment horizontal="center" vertical="center" wrapText="1"/>
    </xf>
    <xf numFmtId="0" fontId="28" fillId="0" borderId="6" xfId="0" applyFont="1" applyBorder="1" applyAlignment="1">
      <alignment vertical="center"/>
    </xf>
    <xf numFmtId="0" fontId="33" fillId="4" borderId="6" xfId="0" applyFont="1" applyFill="1" applyBorder="1" applyAlignment="1">
      <alignment vertical="center"/>
    </xf>
    <xf numFmtId="0" fontId="32" fillId="21" borderId="6" xfId="0" applyFont="1" applyFill="1" applyBorder="1" applyAlignment="1">
      <alignment horizontal="center" vertical="center" wrapText="1"/>
    </xf>
    <xf numFmtId="0" fontId="72" fillId="21" borderId="6" xfId="0" applyFont="1" applyFill="1" applyBorder="1" applyAlignment="1">
      <alignment horizontal="center" vertical="center" wrapText="1"/>
    </xf>
    <xf numFmtId="0" fontId="32" fillId="10" borderId="6" xfId="0" applyFont="1" applyFill="1" applyBorder="1" applyAlignment="1">
      <alignment vertical="center"/>
    </xf>
    <xf numFmtId="0" fontId="32" fillId="0" borderId="6" xfId="0" applyFont="1" applyBorder="1" applyAlignment="1">
      <alignment vertical="center"/>
    </xf>
    <xf numFmtId="0" fontId="33" fillId="10" borderId="0" xfId="0" applyFont="1" applyFill="1" applyAlignment="1">
      <alignment vertical="center"/>
    </xf>
    <xf numFmtId="0" fontId="72" fillId="10" borderId="0" xfId="0" applyFont="1" applyFill="1" applyAlignment="1">
      <alignment horizontal="center" vertical="center" wrapText="1"/>
    </xf>
    <xf numFmtId="0" fontId="73" fillId="21" borderId="6" xfId="0" applyFont="1" applyFill="1" applyBorder="1" applyAlignment="1">
      <alignment horizontal="center" vertical="center" wrapText="1"/>
    </xf>
    <xf numFmtId="0" fontId="36" fillId="10" borderId="0" xfId="0" applyFont="1" applyFill="1" applyAlignment="1">
      <alignment horizontal="center" vertical="center" wrapText="1"/>
    </xf>
    <xf numFmtId="0" fontId="33" fillId="10" borderId="6" xfId="0" applyFont="1" applyFill="1" applyBorder="1" applyAlignment="1">
      <alignment horizontal="center" vertical="center"/>
    </xf>
    <xf numFmtId="0" fontId="33" fillId="10" borderId="6" xfId="0" applyFont="1" applyFill="1" applyBorder="1" applyAlignment="1">
      <alignment vertical="center"/>
    </xf>
    <xf numFmtId="0" fontId="33" fillId="4" borderId="5" xfId="0" applyFont="1" applyFill="1" applyBorder="1" applyAlignment="1">
      <alignment vertical="center"/>
    </xf>
    <xf numFmtId="0" fontId="74" fillId="10" borderId="0" xfId="0" applyFont="1" applyFill="1" applyAlignment="1">
      <alignment vertical="center"/>
    </xf>
    <xf numFmtId="0" fontId="47" fillId="10" borderId="0" xfId="0" applyFont="1" applyFill="1" applyAlignment="1">
      <alignment horizontal="right" vertical="center"/>
    </xf>
    <xf numFmtId="9" fontId="28" fillId="10" borderId="0" xfId="2" applyFont="1" applyFill="1" applyAlignment="1">
      <alignment vertical="center"/>
    </xf>
    <xf numFmtId="0" fontId="61" fillId="0" borderId="0" xfId="0" applyFont="1" applyAlignment="1">
      <alignment horizontal="left" vertical="center"/>
    </xf>
    <xf numFmtId="0" fontId="30" fillId="5" borderId="8" xfId="0" applyFont="1" applyFill="1" applyBorder="1" applyAlignment="1">
      <alignment horizontal="center" vertical="center" wrapText="1"/>
    </xf>
    <xf numFmtId="0" fontId="28" fillId="11" borderId="3" xfId="0" applyFont="1" applyFill="1" applyBorder="1" applyAlignment="1">
      <alignment vertical="center"/>
    </xf>
    <xf numFmtId="0" fontId="28" fillId="11" borderId="4" xfId="0" applyFont="1" applyFill="1" applyBorder="1" applyAlignment="1">
      <alignment vertical="center"/>
    </xf>
    <xf numFmtId="0" fontId="28" fillId="11" borderId="4" xfId="0" applyFont="1" applyFill="1" applyBorder="1" applyAlignment="1">
      <alignment horizontal="left" vertical="center"/>
    </xf>
    <xf numFmtId="0" fontId="28" fillId="11" borderId="3" xfId="0" applyFont="1" applyFill="1" applyBorder="1" applyAlignment="1">
      <alignment horizontal="center" vertical="center"/>
    </xf>
    <xf numFmtId="0" fontId="28" fillId="11" borderId="4" xfId="0" applyFont="1" applyFill="1" applyBorder="1" applyAlignment="1">
      <alignment horizontal="center" vertical="center"/>
    </xf>
    <xf numFmtId="0" fontId="61" fillId="10" borderId="0" xfId="0" applyFont="1" applyFill="1" applyAlignment="1">
      <alignment vertical="center"/>
    </xf>
    <xf numFmtId="0" fontId="28" fillId="10" borderId="2" xfId="0" applyFont="1" applyFill="1" applyBorder="1" applyAlignment="1">
      <alignment vertical="center"/>
    </xf>
    <xf numFmtId="0" fontId="32" fillId="14" borderId="6" xfId="0" applyFont="1" applyFill="1" applyBorder="1" applyAlignment="1">
      <alignment horizontal="center" vertical="center"/>
    </xf>
    <xf numFmtId="0" fontId="32" fillId="10" borderId="5" xfId="0" applyFont="1" applyFill="1" applyBorder="1" applyAlignment="1">
      <alignment horizontal="center" vertical="center"/>
    </xf>
    <xf numFmtId="0" fontId="32" fillId="14" borderId="6" xfId="0" applyFont="1" applyFill="1" applyBorder="1" applyAlignment="1">
      <alignment vertical="center"/>
    </xf>
    <xf numFmtId="0" fontId="32" fillId="14" borderId="6" xfId="0" applyFont="1" applyFill="1" applyBorder="1" applyAlignment="1">
      <alignment horizontal="left" vertical="center"/>
    </xf>
    <xf numFmtId="0" fontId="32" fillId="10" borderId="2" xfId="0" applyFont="1" applyFill="1" applyBorder="1" applyAlignment="1">
      <alignment vertical="center"/>
    </xf>
    <xf numFmtId="0" fontId="47" fillId="14" borderId="6" xfId="0" applyFont="1" applyFill="1" applyBorder="1" applyAlignment="1">
      <alignment horizontal="center" vertical="center"/>
    </xf>
    <xf numFmtId="0" fontId="47" fillId="10" borderId="6" xfId="0" applyFont="1" applyFill="1" applyBorder="1" applyAlignment="1">
      <alignment horizontal="center" vertical="center"/>
    </xf>
    <xf numFmtId="0" fontId="28" fillId="4" borderId="6" xfId="0" applyFont="1" applyFill="1" applyBorder="1" applyAlignment="1">
      <alignment vertical="center"/>
    </xf>
    <xf numFmtId="9" fontId="28" fillId="4" borderId="6" xfId="2" applyFont="1" applyFill="1" applyBorder="1" applyAlignment="1">
      <alignment vertical="center"/>
    </xf>
    <xf numFmtId="3" fontId="61" fillId="4" borderId="6" xfId="0" applyNumberFormat="1" applyFont="1" applyFill="1" applyBorder="1" applyAlignment="1">
      <alignment horizontal="center" vertical="center"/>
    </xf>
    <xf numFmtId="9" fontId="61" fillId="4" borderId="6" xfId="2" applyFont="1" applyFill="1" applyBorder="1" applyAlignment="1">
      <alignment horizontal="center" vertical="center"/>
    </xf>
    <xf numFmtId="1" fontId="61" fillId="4" borderId="6" xfId="0" applyNumberFormat="1" applyFont="1" applyFill="1" applyBorder="1" applyAlignment="1">
      <alignment horizontal="center" vertical="center"/>
    </xf>
    <xf numFmtId="164" fontId="61" fillId="4" borderId="6" xfId="0" applyNumberFormat="1" applyFont="1" applyFill="1" applyBorder="1" applyAlignment="1">
      <alignment horizontal="center" vertical="center"/>
    </xf>
    <xf numFmtId="0" fontId="28" fillId="4" borderId="6" xfId="0" applyFont="1" applyFill="1" applyBorder="1" applyAlignment="1">
      <alignment horizontal="left" vertical="center"/>
    </xf>
    <xf numFmtId="0" fontId="28" fillId="21" borderId="6" xfId="0" applyFont="1" applyFill="1" applyBorder="1" applyAlignment="1">
      <alignment vertical="center"/>
    </xf>
    <xf numFmtId="2" fontId="61" fillId="4" borderId="6" xfId="0" applyNumberFormat="1" applyFont="1" applyFill="1" applyBorder="1" applyAlignment="1">
      <alignment horizontal="center" vertical="center"/>
    </xf>
    <xf numFmtId="0" fontId="28" fillId="22" borderId="6" xfId="0" applyFont="1" applyFill="1" applyBorder="1" applyAlignment="1">
      <alignment vertical="center"/>
    </xf>
    <xf numFmtId="164" fontId="28" fillId="4" borderId="6" xfId="0" applyNumberFormat="1" applyFont="1" applyFill="1" applyBorder="1" applyAlignment="1">
      <alignment horizontal="center" vertical="center"/>
    </xf>
    <xf numFmtId="0" fontId="28" fillId="10" borderId="5" xfId="0" applyFont="1" applyFill="1" applyBorder="1" applyAlignment="1">
      <alignment horizontal="center" vertical="center"/>
    </xf>
    <xf numFmtId="0" fontId="33" fillId="0" borderId="5" xfId="0" applyFont="1" applyBorder="1" applyAlignment="1">
      <alignment vertical="center"/>
    </xf>
    <xf numFmtId="0" fontId="28" fillId="10" borderId="6" xfId="0" quotePrefix="1" applyFont="1" applyFill="1" applyBorder="1" applyAlignment="1">
      <alignment horizontal="center" vertical="center"/>
    </xf>
    <xf numFmtId="0" fontId="33" fillId="0" borderId="6" xfId="0" applyFont="1" applyBorder="1" applyAlignment="1">
      <alignment vertical="center"/>
    </xf>
    <xf numFmtId="1" fontId="28" fillId="0" borderId="6" xfId="0" applyNumberFormat="1" applyFont="1" applyBorder="1" applyAlignment="1">
      <alignment horizontal="center" vertical="center"/>
    </xf>
    <xf numFmtId="0" fontId="61" fillId="4" borderId="6" xfId="0" applyFont="1" applyFill="1" applyBorder="1" applyAlignment="1">
      <alignment horizontal="center" vertical="center"/>
    </xf>
    <xf numFmtId="9" fontId="28" fillId="4" borderId="6" xfId="2" applyFont="1" applyFill="1" applyBorder="1" applyAlignment="1">
      <alignment horizontal="center" vertical="center"/>
    </xf>
    <xf numFmtId="0" fontId="28" fillId="21" borderId="6" xfId="0" applyFont="1" applyFill="1" applyBorder="1" applyAlignment="1">
      <alignment horizontal="center" vertical="center"/>
    </xf>
    <xf numFmtId="0" fontId="28" fillId="14" borderId="5" xfId="0" applyFont="1" applyFill="1" applyBorder="1" applyAlignment="1">
      <alignment vertical="center"/>
    </xf>
    <xf numFmtId="0" fontId="28" fillId="14" borderId="6" xfId="0" applyFont="1" applyFill="1" applyBorder="1" applyAlignment="1">
      <alignment vertical="center"/>
    </xf>
    <xf numFmtId="0" fontId="28" fillId="4" borderId="6" xfId="0" applyFont="1" applyFill="1" applyBorder="1" applyAlignment="1">
      <alignment horizontal="center" vertical="center"/>
    </xf>
    <xf numFmtId="0" fontId="28" fillId="10" borderId="0" xfId="0" applyFont="1" applyFill="1" applyAlignment="1">
      <alignment horizontal="center"/>
    </xf>
    <xf numFmtId="0" fontId="75" fillId="10" borderId="0" xfId="0" applyFont="1" applyFill="1"/>
    <xf numFmtId="0" fontId="18" fillId="10" borderId="0" xfId="0" applyFont="1" applyFill="1" applyAlignment="1">
      <alignment horizontal="center" vertical="center"/>
    </xf>
    <xf numFmtId="0" fontId="69" fillId="10" borderId="0" xfId="0" applyFont="1" applyFill="1" applyAlignment="1">
      <alignment horizontal="center" vertical="center"/>
    </xf>
    <xf numFmtId="0" fontId="43" fillId="10" borderId="0" xfId="0" applyFont="1" applyFill="1" applyAlignment="1">
      <alignment horizontal="center" vertical="center"/>
    </xf>
    <xf numFmtId="0" fontId="30" fillId="5" borderId="2" xfId="0" applyFont="1" applyFill="1" applyBorder="1" applyAlignment="1">
      <alignment vertical="center" wrapText="1"/>
    </xf>
    <xf numFmtId="0" fontId="30" fillId="5" borderId="3" xfId="0" applyFont="1" applyFill="1" applyBorder="1" applyAlignment="1">
      <alignment vertical="center" wrapText="1"/>
    </xf>
    <xf numFmtId="0" fontId="36" fillId="4" borderId="2" xfId="0" applyFont="1" applyFill="1" applyBorder="1" applyAlignment="1">
      <alignment vertical="center" wrapText="1"/>
    </xf>
    <xf numFmtId="0" fontId="36" fillId="4" borderId="3" xfId="0" applyFont="1" applyFill="1" applyBorder="1" applyAlignment="1">
      <alignment horizontal="center" vertical="center" wrapText="1"/>
    </xf>
    <xf numFmtId="0" fontId="36" fillId="4" borderId="3" xfId="0" applyFont="1" applyFill="1" applyBorder="1" applyAlignment="1">
      <alignment vertical="center" wrapText="1"/>
    </xf>
    <xf numFmtId="0" fontId="33" fillId="23" borderId="6" xfId="0" applyFont="1" applyFill="1" applyBorder="1" applyAlignment="1">
      <alignment horizontal="center" vertical="center"/>
    </xf>
    <xf numFmtId="1" fontId="33" fillId="23" borderId="6" xfId="0" applyNumberFormat="1" applyFont="1" applyFill="1" applyBorder="1" applyAlignment="1">
      <alignment horizontal="center" vertical="center"/>
    </xf>
    <xf numFmtId="0" fontId="36" fillId="4" borderId="2" xfId="0" applyFont="1" applyFill="1" applyBorder="1" applyAlignment="1">
      <alignment vertical="center"/>
    </xf>
    <xf numFmtId="0" fontId="36" fillId="4" borderId="3" xfId="0" applyFont="1" applyFill="1" applyBorder="1" applyAlignment="1">
      <alignment horizontal="center" vertical="center"/>
    </xf>
    <xf numFmtId="0" fontId="32" fillId="10" borderId="0" xfId="0" applyFont="1" applyFill="1" applyAlignment="1">
      <alignment horizontal="right" vertical="center" wrapText="1"/>
    </xf>
    <xf numFmtId="0" fontId="33" fillId="10" borderId="0" xfId="0" applyFont="1" applyFill="1" applyAlignment="1">
      <alignment vertical="top" wrapText="1"/>
    </xf>
    <xf numFmtId="0" fontId="33" fillId="10" borderId="0" xfId="0" applyFont="1" applyFill="1" applyAlignment="1">
      <alignment horizontal="left" vertical="center" wrapText="1"/>
    </xf>
    <xf numFmtId="0" fontId="76" fillId="9" borderId="0" xfId="3" applyFont="1" applyFill="1" applyBorder="1" applyAlignment="1">
      <alignment horizontal="center" vertical="center"/>
    </xf>
    <xf numFmtId="0" fontId="25" fillId="0" borderId="0" xfId="0" applyFont="1"/>
    <xf numFmtId="0" fontId="25" fillId="0" borderId="0" xfId="0" applyFont="1" applyAlignment="1">
      <alignment wrapText="1"/>
    </xf>
    <xf numFmtId="0" fontId="77" fillId="0" borderId="0" xfId="0" applyFont="1" applyAlignment="1">
      <alignment vertical="center" wrapText="1"/>
    </xf>
    <xf numFmtId="0" fontId="78" fillId="0" borderId="0" xfId="0" applyFont="1" applyAlignment="1">
      <alignment vertical="center" wrapText="1"/>
    </xf>
    <xf numFmtId="0" fontId="79" fillId="5" borderId="6" xfId="0" applyFont="1" applyFill="1" applyBorder="1" applyAlignment="1">
      <alignment horizontal="left" vertical="center" wrapText="1"/>
    </xf>
    <xf numFmtId="0" fontId="79" fillId="5" borderId="6" xfId="0" applyFont="1" applyFill="1" applyBorder="1" applyAlignment="1">
      <alignment vertical="center" wrapText="1"/>
    </xf>
    <xf numFmtId="0" fontId="80" fillId="11" borderId="6" xfId="0" applyFont="1" applyFill="1" applyBorder="1" applyAlignment="1">
      <alignment horizontal="left" vertical="center" wrapText="1"/>
    </xf>
    <xf numFmtId="0" fontId="79" fillId="11" borderId="6" xfId="0" applyFont="1" applyFill="1" applyBorder="1" applyAlignment="1">
      <alignment horizontal="left" vertical="center" wrapText="1"/>
    </xf>
    <xf numFmtId="0" fontId="79" fillId="11" borderId="6" xfId="0" applyFont="1" applyFill="1" applyBorder="1" applyAlignment="1">
      <alignment vertical="center" wrapText="1"/>
    </xf>
    <xf numFmtId="0" fontId="25" fillId="0" borderId="1" xfId="0" applyFont="1" applyBorder="1" applyAlignment="1">
      <alignment vertical="center"/>
    </xf>
    <xf numFmtId="0" fontId="25" fillId="0" borderId="1" xfId="0" applyFont="1" applyBorder="1" applyAlignment="1">
      <alignment vertical="center" wrapText="1"/>
    </xf>
    <xf numFmtId="0" fontId="26" fillId="0" borderId="1" xfId="0" applyFont="1" applyBorder="1" applyAlignment="1">
      <alignment vertical="center" wrapText="1"/>
    </xf>
    <xf numFmtId="0" fontId="25" fillId="0" borderId="6" xfId="0" applyFont="1" applyBorder="1" applyAlignment="1">
      <alignment horizontal="left" vertical="center"/>
    </xf>
    <xf numFmtId="0" fontId="25" fillId="0" borderId="6" xfId="0" applyFont="1" applyBorder="1" applyAlignment="1">
      <alignment horizontal="left" vertical="center" wrapText="1"/>
    </xf>
    <xf numFmtId="0" fontId="26" fillId="0" borderId="6" xfId="0" applyFont="1" applyBorder="1" applyAlignment="1">
      <alignment horizontal="left" vertical="center" wrapText="1"/>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25" fillId="17" borderId="6" xfId="0" applyFont="1" applyFill="1" applyBorder="1" applyAlignment="1">
      <alignment horizontal="left" vertical="center" wrapText="1"/>
    </xf>
    <xf numFmtId="0" fontId="80" fillId="11" borderId="6" xfId="0" applyFont="1" applyFill="1" applyBorder="1" applyAlignment="1">
      <alignment horizontal="left" vertical="center"/>
    </xf>
    <xf numFmtId="0" fontId="25" fillId="17" borderId="1" xfId="0" applyFont="1" applyFill="1" applyBorder="1" applyAlignment="1">
      <alignment horizontal="left" vertical="center" wrapText="1"/>
    </xf>
    <xf numFmtId="0" fontId="25" fillId="0" borderId="6" xfId="0" applyFont="1" applyBorder="1" applyAlignment="1">
      <alignment vertical="center" wrapText="1"/>
    </xf>
    <xf numFmtId="0" fontId="26" fillId="0" borderId="6" xfId="0" applyFont="1" applyBorder="1" applyAlignment="1">
      <alignment vertical="center" wrapText="1"/>
    </xf>
    <xf numFmtId="0" fontId="25" fillId="0" borderId="0" xfId="0" applyFont="1" applyAlignment="1">
      <alignment horizontal="justify" vertical="center"/>
    </xf>
    <xf numFmtId="0" fontId="14" fillId="0" borderId="0" xfId="0" applyFont="1" applyAlignment="1">
      <alignment horizontal="right" vertical="center"/>
    </xf>
    <xf numFmtId="0" fontId="22" fillId="0" borderId="6" xfId="0" applyFont="1" applyBorder="1" applyAlignment="1">
      <alignment horizontal="center" vertical="center"/>
    </xf>
    <xf numFmtId="0" fontId="21" fillId="0" borderId="6" xfId="0" applyFont="1" applyBorder="1" applyAlignment="1">
      <alignment horizontal="center" vertical="center"/>
    </xf>
    <xf numFmtId="0" fontId="26" fillId="0" borderId="6" xfId="0" applyFont="1" applyBorder="1" applyAlignment="1">
      <alignment horizontal="center" vertical="center" wrapText="1"/>
    </xf>
    <xf numFmtId="0" fontId="20" fillId="0" borderId="6" xfId="0" applyFont="1" applyBorder="1" applyAlignment="1">
      <alignment horizontal="center" vertical="center"/>
    </xf>
    <xf numFmtId="0" fontId="18" fillId="23" borderId="0" xfId="0" applyFont="1" applyFill="1" applyAlignment="1">
      <alignment vertical="center"/>
    </xf>
    <xf numFmtId="0" fontId="81" fillId="23" borderId="0" xfId="0" applyFont="1" applyFill="1"/>
    <xf numFmtId="0" fontId="43" fillId="23" borderId="0" xfId="0" applyFont="1" applyFill="1"/>
    <xf numFmtId="0" fontId="4" fillId="25" borderId="0" xfId="3" applyFill="1" applyAlignment="1">
      <alignment horizontal="center" vertical="center"/>
    </xf>
    <xf numFmtId="0" fontId="83" fillId="23" borderId="0" xfId="0" applyFont="1" applyFill="1"/>
    <xf numFmtId="0" fontId="83" fillId="23" borderId="0" xfId="0" applyFont="1" applyFill="1" applyAlignment="1">
      <alignment horizontal="right"/>
    </xf>
    <xf numFmtId="0" fontId="33" fillId="23" borderId="0" xfId="0" applyFont="1" applyFill="1"/>
    <xf numFmtId="0" fontId="3" fillId="23" borderId="0" xfId="0" applyFont="1" applyFill="1"/>
    <xf numFmtId="0" fontId="82" fillId="0" borderId="0" xfId="0" applyFont="1" applyAlignment="1">
      <alignment horizontal="left" vertical="top"/>
    </xf>
    <xf numFmtId="0" fontId="43" fillId="23" borderId="0" xfId="0" applyFont="1" applyFill="1" applyAlignment="1">
      <alignment horizontal="left" vertical="center"/>
    </xf>
    <xf numFmtId="0" fontId="81" fillId="23" borderId="0" xfId="0" applyFont="1" applyFill="1" applyAlignment="1">
      <alignment horizontal="right"/>
    </xf>
    <xf numFmtId="0" fontId="83" fillId="23" borderId="0" xfId="0" applyFont="1" applyFill="1" applyAlignment="1">
      <alignment horizontal="center"/>
    </xf>
    <xf numFmtId="0" fontId="84" fillId="8" borderId="6" xfId="0" applyFont="1" applyFill="1" applyBorder="1" applyAlignment="1">
      <alignment horizontal="center" wrapText="1"/>
    </xf>
    <xf numFmtId="0" fontId="65" fillId="24" borderId="6" xfId="0" applyFont="1" applyFill="1" applyBorder="1" applyAlignment="1">
      <alignment horizontal="right" wrapText="1"/>
    </xf>
    <xf numFmtId="0" fontId="31" fillId="24" borderId="6" xfId="0" applyFont="1" applyFill="1" applyBorder="1" applyAlignment="1">
      <alignment horizontal="center" wrapText="1"/>
    </xf>
    <xf numFmtId="0" fontId="46" fillId="23" borderId="0" xfId="0" applyFont="1" applyFill="1"/>
    <xf numFmtId="0" fontId="33" fillId="23" borderId="6" xfId="0" applyFont="1" applyFill="1" applyBorder="1"/>
    <xf numFmtId="0" fontId="31" fillId="23" borderId="0" xfId="0" applyFont="1" applyFill="1"/>
    <xf numFmtId="0" fontId="31" fillId="7" borderId="6" xfId="0" applyFont="1" applyFill="1" applyBorder="1" applyAlignment="1">
      <alignment vertical="center" wrapText="1"/>
    </xf>
    <xf numFmtId="9" fontId="81" fillId="23" borderId="0" xfId="2" applyFont="1" applyFill="1"/>
    <xf numFmtId="0" fontId="86" fillId="23" borderId="0" xfId="0" applyFont="1" applyFill="1" applyAlignment="1">
      <alignment wrapText="1"/>
    </xf>
    <xf numFmtId="0" fontId="85" fillId="8" borderId="6" xfId="0" applyFont="1" applyFill="1" applyBorder="1" applyAlignment="1">
      <alignment wrapText="1"/>
    </xf>
    <xf numFmtId="0" fontId="87" fillId="23" borderId="0" xfId="0" applyFont="1" applyFill="1" applyAlignment="1">
      <alignment horizontal="right"/>
    </xf>
    <xf numFmtId="0" fontId="31" fillId="24" borderId="6" xfId="0" applyFont="1" applyFill="1" applyBorder="1" applyAlignment="1">
      <alignment horizontal="right" wrapText="1"/>
    </xf>
    <xf numFmtId="0" fontId="83" fillId="23" borderId="0" xfId="0" applyFont="1" applyFill="1" applyAlignment="1">
      <alignment vertical="center"/>
    </xf>
    <xf numFmtId="0" fontId="33" fillId="23" borderId="6" xfId="0" applyFont="1" applyFill="1" applyBorder="1" applyAlignment="1">
      <alignment vertical="center"/>
    </xf>
    <xf numFmtId="0" fontId="33" fillId="0" borderId="6" xfId="0" applyFont="1" applyBorder="1" applyAlignment="1">
      <alignment horizontal="right" vertical="center" wrapText="1"/>
    </xf>
    <xf numFmtId="6" fontId="33" fillId="0" borderId="6" xfId="0" applyNumberFormat="1" applyFont="1" applyBorder="1" applyAlignment="1">
      <alignment horizontal="right" vertical="center" wrapText="1"/>
    </xf>
    <xf numFmtId="0" fontId="33" fillId="23" borderId="6" xfId="0" applyFont="1" applyFill="1" applyBorder="1" applyAlignment="1">
      <alignment horizontal="right" vertical="center" wrapText="1"/>
    </xf>
    <xf numFmtId="6" fontId="33" fillId="23" borderId="6" xfId="0" applyNumberFormat="1" applyFont="1" applyFill="1" applyBorder="1" applyAlignment="1">
      <alignment horizontal="right" vertical="center" wrapText="1"/>
    </xf>
    <xf numFmtId="6" fontId="33" fillId="0" borderId="6" xfId="0" applyNumberFormat="1" applyFont="1" applyBorder="1" applyAlignment="1">
      <alignment vertical="center" wrapText="1"/>
    </xf>
    <xf numFmtId="0" fontId="33" fillId="23" borderId="6" xfId="0" applyFont="1" applyFill="1" applyBorder="1" applyAlignment="1">
      <alignment vertical="center" wrapText="1"/>
    </xf>
    <xf numFmtId="6" fontId="33" fillId="23" borderId="6" xfId="0" applyNumberFormat="1" applyFont="1" applyFill="1" applyBorder="1" applyAlignment="1">
      <alignment vertical="center" wrapText="1"/>
    </xf>
    <xf numFmtId="0" fontId="31" fillId="7" borderId="6" xfId="0" applyFont="1" applyFill="1" applyBorder="1" applyAlignment="1">
      <alignment vertical="center"/>
    </xf>
    <xf numFmtId="6" fontId="31" fillId="7" borderId="6" xfId="0" applyNumberFormat="1" applyFont="1" applyFill="1" applyBorder="1" applyAlignment="1">
      <alignment horizontal="right" vertical="center" wrapText="1"/>
    </xf>
    <xf numFmtId="0" fontId="31" fillId="7" borderId="6" xfId="0" applyFont="1" applyFill="1" applyBorder="1" applyAlignment="1">
      <alignment horizontal="right" vertical="center" wrapText="1"/>
    </xf>
    <xf numFmtId="0" fontId="31" fillId="7" borderId="6" xfId="0" applyFont="1" applyFill="1" applyBorder="1" applyAlignment="1">
      <alignment horizontal="right" vertical="center"/>
    </xf>
    <xf numFmtId="0" fontId="83" fillId="23" borderId="0" xfId="0" applyFont="1" applyFill="1" applyAlignment="1">
      <alignment horizontal="right" vertical="center"/>
    </xf>
    <xf numFmtId="0" fontId="46" fillId="23" borderId="0" xfId="0" applyFont="1" applyFill="1" applyAlignment="1">
      <alignment vertical="center"/>
    </xf>
    <xf numFmtId="0" fontId="83" fillId="0" borderId="0" xfId="0" applyFont="1" applyAlignment="1">
      <alignment vertical="center"/>
    </xf>
    <xf numFmtId="0" fontId="83" fillId="10" borderId="0" xfId="0" applyFont="1" applyFill="1" applyAlignment="1">
      <alignment vertical="center"/>
    </xf>
    <xf numFmtId="0" fontId="88" fillId="8" borderId="6" xfId="0" applyFont="1" applyFill="1" applyBorder="1" applyAlignment="1">
      <alignment horizontal="right" wrapText="1"/>
    </xf>
    <xf numFmtId="0" fontId="85" fillId="8" borderId="6" xfId="0" applyFont="1" applyFill="1" applyBorder="1" applyAlignment="1">
      <alignment horizontal="center" wrapText="1"/>
    </xf>
    <xf numFmtId="9" fontId="33" fillId="0" borderId="6" xfId="0" applyNumberFormat="1" applyFont="1" applyBorder="1" applyAlignment="1">
      <alignment horizontal="center" vertical="center"/>
    </xf>
    <xf numFmtId="0" fontId="33" fillId="23" borderId="6" xfId="0" applyFont="1" applyFill="1" applyBorder="1" applyAlignment="1">
      <alignment horizontal="center" vertical="center" wrapText="1"/>
    </xf>
    <xf numFmtId="9" fontId="33" fillId="23" borderId="6" xfId="0" applyNumberFormat="1" applyFont="1" applyFill="1" applyBorder="1" applyAlignment="1">
      <alignment horizontal="center" vertical="center" wrapText="1"/>
    </xf>
    <xf numFmtId="0" fontId="33" fillId="23" borderId="0" xfId="0" applyFont="1" applyFill="1" applyAlignment="1">
      <alignment vertical="center"/>
    </xf>
    <xf numFmtId="0" fontId="83" fillId="23" borderId="0" xfId="0" applyFont="1" applyFill="1" applyAlignment="1">
      <alignment wrapText="1"/>
    </xf>
    <xf numFmtId="0" fontId="16" fillId="23" borderId="0" xfId="0" applyFont="1" applyFill="1"/>
    <xf numFmtId="0" fontId="5" fillId="0" borderId="0" xfId="0" applyFont="1" applyAlignment="1">
      <alignment wrapText="1"/>
    </xf>
    <xf numFmtId="0" fontId="18" fillId="0" borderId="0" xfId="0" applyFont="1" applyAlignment="1">
      <alignment vertical="center" wrapText="1"/>
    </xf>
    <xf numFmtId="0" fontId="19" fillId="0" borderId="0" xfId="0" applyFont="1" applyAlignment="1">
      <alignment vertical="center" wrapText="1"/>
    </xf>
    <xf numFmtId="0" fontId="22" fillId="10" borderId="0" xfId="0" applyFont="1" applyFill="1" applyAlignment="1">
      <alignment horizontal="right" vertical="center" wrapText="1"/>
    </xf>
    <xf numFmtId="0" fontId="23" fillId="11" borderId="3" xfId="0" applyFont="1" applyFill="1" applyBorder="1" applyAlignment="1">
      <alignment horizontal="left" vertical="center" wrapText="1"/>
    </xf>
    <xf numFmtId="0" fontId="89" fillId="11" borderId="3" xfId="0" applyFont="1" applyFill="1" applyBorder="1" applyAlignment="1">
      <alignment horizontal="left" vertical="center" wrapText="1"/>
    </xf>
    <xf numFmtId="0" fontId="89" fillId="11" borderId="4" xfId="0" applyFont="1" applyFill="1" applyBorder="1" applyAlignment="1">
      <alignment horizontal="left" vertical="center" wrapText="1"/>
    </xf>
    <xf numFmtId="0" fontId="25" fillId="0" borderId="7" xfId="0" applyFont="1" applyBorder="1" applyAlignment="1">
      <alignment vertical="center" wrapText="1"/>
    </xf>
    <xf numFmtId="0" fontId="22" fillId="10" borderId="6" xfId="0" applyFont="1" applyFill="1" applyBorder="1" applyAlignment="1">
      <alignment horizontal="center" vertical="center" wrapText="1"/>
    </xf>
    <xf numFmtId="0" fontId="22" fillId="10" borderId="4" xfId="0" applyFont="1" applyFill="1" applyBorder="1" applyAlignment="1">
      <alignment horizontal="center" vertical="center" wrapText="1"/>
    </xf>
    <xf numFmtId="0" fontId="24" fillId="12" borderId="6" xfId="0" applyFont="1" applyFill="1" applyBorder="1" applyAlignment="1">
      <alignment vertical="center" wrapText="1"/>
    </xf>
    <xf numFmtId="0" fontId="26" fillId="12" borderId="9" xfId="0" applyFont="1" applyFill="1" applyBorder="1" applyAlignment="1">
      <alignment vertical="center" wrapText="1"/>
    </xf>
    <xf numFmtId="0" fontId="25" fillId="12" borderId="4" xfId="0" applyFont="1" applyFill="1" applyBorder="1" applyAlignment="1">
      <alignment vertical="center" wrapText="1"/>
    </xf>
    <xf numFmtId="0" fontId="25" fillId="12" borderId="6" xfId="0" applyFont="1" applyFill="1" applyBorder="1" applyAlignment="1">
      <alignment vertical="center" wrapText="1"/>
    </xf>
    <xf numFmtId="0" fontId="28" fillId="10" borderId="0" xfId="0" applyFont="1" applyFill="1" applyAlignment="1">
      <alignment horizontal="left"/>
    </xf>
    <xf numFmtId="0" fontId="28" fillId="10" borderId="0" xfId="0" applyFont="1" applyFill="1" applyAlignment="1">
      <alignment horizontal="right"/>
    </xf>
    <xf numFmtId="0" fontId="51" fillId="5" borderId="1" xfId="0" applyFont="1" applyFill="1" applyBorder="1" applyAlignment="1">
      <alignment horizontal="left" vertical="top" wrapText="1"/>
    </xf>
    <xf numFmtId="0" fontId="36" fillId="11" borderId="2" xfId="0" applyFont="1" applyFill="1" applyBorder="1" applyAlignment="1">
      <alignment vertical="center"/>
    </xf>
    <xf numFmtId="0" fontId="36" fillId="11" borderId="3" xfId="0" applyFont="1" applyFill="1" applyBorder="1" applyAlignment="1">
      <alignment vertical="center"/>
    </xf>
    <xf numFmtId="0" fontId="36" fillId="11" borderId="4" xfId="0" applyFont="1" applyFill="1" applyBorder="1" applyAlignment="1">
      <alignment vertical="center"/>
    </xf>
    <xf numFmtId="0" fontId="33" fillId="10" borderId="5" xfId="0" applyFont="1" applyFill="1" applyBorder="1" applyAlignment="1">
      <alignment horizontal="left" vertical="center" wrapText="1"/>
    </xf>
    <xf numFmtId="0" fontId="90" fillId="10" borderId="0" xfId="0" applyFont="1" applyFill="1" applyAlignment="1">
      <alignment vertical="center"/>
    </xf>
    <xf numFmtId="9" fontId="28" fillId="0" borderId="6" xfId="0" applyNumberFormat="1" applyFont="1" applyBorder="1" applyAlignment="1">
      <alignment horizontal="center" vertical="center" wrapText="1"/>
    </xf>
    <xf numFmtId="9" fontId="32" fillId="10" borderId="6" xfId="0" applyNumberFormat="1" applyFont="1" applyFill="1" applyBorder="1" applyAlignment="1">
      <alignment horizontal="center" vertical="center" wrapText="1"/>
    </xf>
    <xf numFmtId="0" fontId="33" fillId="10" borderId="0" xfId="0" applyFont="1" applyFill="1" applyAlignment="1">
      <alignment horizontal="left" vertical="center" readingOrder="1"/>
    </xf>
    <xf numFmtId="0" fontId="51" fillId="5" borderId="6" xfId="0" applyFont="1" applyFill="1" applyBorder="1" applyAlignment="1">
      <alignment horizontal="left" vertical="top" wrapText="1"/>
    </xf>
    <xf numFmtId="9" fontId="32" fillId="10" borderId="3" xfId="0" applyNumberFormat="1" applyFont="1" applyFill="1" applyBorder="1" applyAlignment="1">
      <alignment horizontal="center" vertical="center" wrapText="1"/>
    </xf>
    <xf numFmtId="9" fontId="28" fillId="10" borderId="0" xfId="0" applyNumberFormat="1" applyFont="1" applyFill="1" applyAlignment="1">
      <alignment horizontal="center"/>
    </xf>
    <xf numFmtId="10" fontId="33" fillId="10" borderId="0" xfId="0" applyNumberFormat="1" applyFont="1" applyFill="1" applyAlignment="1">
      <alignment horizontal="right" vertical="center" wrapText="1"/>
    </xf>
    <xf numFmtId="9" fontId="33" fillId="10" borderId="0" xfId="0" applyNumberFormat="1" applyFont="1" applyFill="1" applyAlignment="1">
      <alignment horizontal="left" vertical="center" readingOrder="1"/>
    </xf>
    <xf numFmtId="0" fontId="32" fillId="10" borderId="0" xfId="0" applyFont="1" applyFill="1" applyAlignment="1">
      <alignment horizontal="right"/>
    </xf>
    <xf numFmtId="0" fontId="17" fillId="9" borderId="0" xfId="3" applyFont="1" applyFill="1" applyAlignment="1">
      <alignment horizontal="center" vertical="center"/>
    </xf>
    <xf numFmtId="0" fontId="5" fillId="0" borderId="0" xfId="0" applyFont="1" applyAlignment="1">
      <alignment vertical="center"/>
    </xf>
    <xf numFmtId="0" fontId="18" fillId="0" borderId="0" xfId="0" applyFont="1" applyAlignment="1">
      <alignment horizontal="center" vertical="center" wrapText="1"/>
    </xf>
    <xf numFmtId="0" fontId="23" fillId="11" borderId="3" xfId="0" applyFont="1" applyFill="1" applyBorder="1" applyAlignment="1">
      <alignment horizontal="center" vertical="center" wrapText="1"/>
    </xf>
    <xf numFmtId="0" fontId="5" fillId="27" borderId="4" xfId="0" applyFont="1" applyFill="1" applyBorder="1" applyAlignment="1">
      <alignment vertical="center"/>
    </xf>
    <xf numFmtId="49" fontId="25" fillId="10" borderId="5" xfId="0" applyNumberFormat="1" applyFont="1" applyFill="1" applyBorder="1" applyAlignment="1">
      <alignment horizontal="center" vertical="center" wrapText="1"/>
    </xf>
    <xf numFmtId="0" fontId="26" fillId="10" borderId="5" xfId="0" applyFont="1" applyFill="1" applyBorder="1" applyAlignment="1">
      <alignment horizontal="left" vertical="center" wrapText="1"/>
    </xf>
    <xf numFmtId="0" fontId="89" fillId="14" borderId="5" xfId="0" applyFont="1" applyFill="1" applyBorder="1" applyAlignment="1">
      <alignment horizontal="left" vertical="center" wrapText="1"/>
    </xf>
    <xf numFmtId="49" fontId="25" fillId="10" borderId="6" xfId="0" applyNumberFormat="1" applyFont="1" applyFill="1" applyBorder="1" applyAlignment="1">
      <alignment horizontal="center" vertical="center" wrapText="1"/>
    </xf>
    <xf numFmtId="0" fontId="89" fillId="14" borderId="6" xfId="0" applyFont="1" applyFill="1" applyBorder="1" applyAlignment="1">
      <alignment horizontal="left" vertical="center" wrapText="1"/>
    </xf>
    <xf numFmtId="0" fontId="25" fillId="10" borderId="5" xfId="0" applyFont="1" applyFill="1" applyBorder="1" applyAlignment="1">
      <alignment horizontal="left" vertical="center" wrapText="1"/>
    </xf>
    <xf numFmtId="0" fontId="25" fillId="0" borderId="6" xfId="0" applyFont="1" applyBorder="1" applyAlignment="1">
      <alignment vertical="center"/>
    </xf>
    <xf numFmtId="0" fontId="25" fillId="27" borderId="4" xfId="0" applyFont="1" applyFill="1" applyBorder="1" applyAlignment="1">
      <alignment vertical="center"/>
    </xf>
    <xf numFmtId="0" fontId="24" fillId="1" borderId="6" xfId="0" applyFont="1" applyFill="1" applyBorder="1" applyAlignment="1">
      <alignment vertical="center" wrapText="1"/>
    </xf>
    <xf numFmtId="49" fontId="24" fillId="0" borderId="6" xfId="0" applyNumberFormat="1" applyFont="1" applyBorder="1" applyAlignment="1">
      <alignment horizontal="center" vertical="center" wrapText="1"/>
    </xf>
    <xf numFmtId="0" fontId="26" fillId="1" borderId="6" xfId="0" applyFont="1" applyFill="1" applyBorder="1" applyAlignment="1">
      <alignment vertical="center" wrapText="1"/>
    </xf>
    <xf numFmtId="0" fontId="91" fillId="0" borderId="6" xfId="3" applyFont="1" applyBorder="1" applyAlignment="1">
      <alignment vertical="center" wrapText="1"/>
    </xf>
    <xf numFmtId="0" fontId="5" fillId="27" borderId="9" xfId="0" applyFont="1" applyFill="1" applyBorder="1" applyAlignment="1">
      <alignment vertical="center"/>
    </xf>
    <xf numFmtId="0" fontId="91" fillId="0" borderId="6" xfId="3" quotePrefix="1" applyFont="1" applyBorder="1" applyAlignment="1">
      <alignment vertical="center" wrapText="1"/>
    </xf>
    <xf numFmtId="0" fontId="92" fillId="0" borderId="6" xfId="0" applyFont="1" applyBorder="1" applyAlignment="1">
      <alignment vertical="center" wrapText="1"/>
    </xf>
    <xf numFmtId="0" fontId="25" fillId="0" borderId="5" xfId="0" applyFont="1" applyBorder="1" applyAlignment="1">
      <alignment horizontal="left" vertical="center"/>
    </xf>
    <xf numFmtId="0" fontId="25" fillId="0" borderId="5" xfId="0" applyFont="1" applyBorder="1" applyAlignment="1">
      <alignment vertical="center"/>
    </xf>
    <xf numFmtId="0" fontId="91" fillId="0" borderId="6" xfId="3" applyFont="1" applyFill="1" applyBorder="1" applyAlignment="1">
      <alignment vertical="center" wrapText="1"/>
    </xf>
    <xf numFmtId="0" fontId="25" fillId="3" borderId="5" xfId="0" applyFont="1" applyFill="1" applyBorder="1" applyAlignment="1">
      <alignment horizontal="left" vertical="center"/>
    </xf>
    <xf numFmtId="0" fontId="25" fillId="3" borderId="6" xfId="0" applyFont="1" applyFill="1" applyBorder="1" applyAlignment="1">
      <alignment vertical="center" wrapText="1"/>
    </xf>
    <xf numFmtId="0" fontId="25" fillId="3" borderId="6" xfId="0" applyFont="1" applyFill="1" applyBorder="1" applyAlignment="1">
      <alignment vertical="center"/>
    </xf>
    <xf numFmtId="0" fontId="26" fillId="3" borderId="6" xfId="0" applyFont="1" applyFill="1" applyBorder="1" applyAlignment="1">
      <alignment vertical="center" wrapText="1"/>
    </xf>
    <xf numFmtId="0" fontId="25" fillId="3" borderId="6" xfId="0" applyFont="1" applyFill="1" applyBorder="1" applyAlignment="1">
      <alignment wrapText="1"/>
    </xf>
    <xf numFmtId="0" fontId="26" fillId="10" borderId="6" xfId="0" applyFont="1" applyFill="1" applyBorder="1" applyAlignment="1">
      <alignment vertical="center" wrapText="1"/>
    </xf>
    <xf numFmtId="0" fontId="25" fillId="10" borderId="5" xfId="0" applyFont="1" applyFill="1" applyBorder="1" applyAlignment="1">
      <alignment horizontal="left" vertical="center"/>
    </xf>
    <xf numFmtId="0" fontId="93" fillId="28" borderId="6" xfId="0" applyFont="1" applyFill="1" applyBorder="1" applyAlignment="1">
      <alignment vertical="center" wrapText="1"/>
    </xf>
    <xf numFmtId="0" fontId="10" fillId="29" borderId="0" xfId="3" quotePrefix="1" applyFont="1" applyFill="1" applyAlignment="1">
      <alignment vertical="center"/>
    </xf>
    <xf numFmtId="0" fontId="94" fillId="30" borderId="0" xfId="3" quotePrefix="1" applyFont="1" applyFill="1" applyBorder="1" applyAlignment="1">
      <alignment vertical="center"/>
    </xf>
    <xf numFmtId="0" fontId="94" fillId="30" borderId="0" xfId="3" quotePrefix="1" applyFont="1" applyFill="1" applyAlignment="1">
      <alignment vertical="center"/>
    </xf>
    <xf numFmtId="0" fontId="10" fillId="32" borderId="0" xfId="3" quotePrefix="1" applyFont="1" applyFill="1" applyAlignment="1">
      <alignment vertical="center"/>
    </xf>
    <xf numFmtId="0" fontId="95" fillId="10" borderId="0" xfId="0" applyFont="1" applyFill="1"/>
    <xf numFmtId="1" fontId="33" fillId="0" borderId="6" xfId="0" applyNumberFormat="1" applyFont="1" applyBorder="1" applyAlignment="1">
      <alignment horizontal="center" vertical="center" wrapText="1"/>
    </xf>
    <xf numFmtId="0" fontId="32" fillId="10" borderId="0" xfId="0" applyFont="1" applyFill="1" applyAlignment="1">
      <alignment horizontal="center" vertical="center" wrapText="1"/>
    </xf>
    <xf numFmtId="0" fontId="32" fillId="10" borderId="8" xfId="0" applyFont="1" applyFill="1" applyBorder="1" applyAlignment="1">
      <alignment horizontal="center" vertical="center"/>
    </xf>
    <xf numFmtId="9" fontId="33" fillId="0" borderId="8" xfId="0" applyNumberFormat="1" applyFont="1" applyBorder="1" applyAlignment="1">
      <alignment horizontal="center" vertical="center" wrapText="1"/>
    </xf>
    <xf numFmtId="0" fontId="33" fillId="10" borderId="5" xfId="0" applyFont="1" applyFill="1" applyBorder="1" applyAlignment="1">
      <alignment horizontal="center" vertical="center" wrapText="1"/>
    </xf>
    <xf numFmtId="168" fontId="31" fillId="7" borderId="6" xfId="0" applyNumberFormat="1" applyFont="1" applyFill="1" applyBorder="1" applyAlignment="1">
      <alignment horizontal="center" vertical="center" wrapText="1"/>
    </xf>
    <xf numFmtId="168" fontId="31" fillId="7" borderId="6" xfId="0" applyNumberFormat="1" applyFont="1" applyFill="1" applyBorder="1" applyAlignment="1">
      <alignment vertical="center" wrapText="1"/>
    </xf>
    <xf numFmtId="0" fontId="32" fillId="13" borderId="0" xfId="0" applyFont="1" applyFill="1" applyAlignment="1">
      <alignment vertical="center"/>
    </xf>
    <xf numFmtId="0" fontId="83" fillId="13" borderId="0" xfId="0" applyFont="1" applyFill="1" applyAlignment="1">
      <alignment vertical="center"/>
    </xf>
    <xf numFmtId="0" fontId="83" fillId="13" borderId="0" xfId="0" applyFont="1" applyFill="1" applyAlignment="1">
      <alignment horizontal="right" vertical="center"/>
    </xf>
    <xf numFmtId="0" fontId="31" fillId="13" borderId="0" xfId="0" applyFont="1" applyFill="1" applyAlignment="1">
      <alignment vertical="center"/>
    </xf>
    <xf numFmtId="0" fontId="46" fillId="13" borderId="0" xfId="0" applyFont="1" applyFill="1" applyAlignment="1">
      <alignment vertical="center"/>
    </xf>
    <xf numFmtId="9" fontId="33" fillId="23" borderId="6" xfId="2" applyFont="1" applyFill="1" applyBorder="1" applyAlignment="1">
      <alignment horizontal="center" vertical="center"/>
    </xf>
    <xf numFmtId="0" fontId="32" fillId="0" borderId="6" xfId="0" applyFont="1" applyBorder="1" applyAlignment="1">
      <alignment vertical="center" wrapText="1"/>
    </xf>
    <xf numFmtId="0" fontId="30" fillId="5" borderId="5" xfId="0" applyFont="1" applyFill="1" applyBorder="1" applyAlignment="1">
      <alignment horizontal="center" vertical="center" wrapText="1"/>
    </xf>
    <xf numFmtId="9" fontId="0" fillId="0" borderId="0" xfId="0" applyNumberFormat="1"/>
    <xf numFmtId="4" fontId="0" fillId="0" borderId="0" xfId="0" applyNumberFormat="1"/>
    <xf numFmtId="10" fontId="0" fillId="0" borderId="0" xfId="0" applyNumberFormat="1"/>
    <xf numFmtId="0" fontId="42" fillId="10" borderId="0" xfId="5" applyFont="1" applyFill="1" applyAlignment="1">
      <alignment horizontal="left"/>
    </xf>
    <xf numFmtId="0" fontId="30" fillId="5" borderId="6" xfId="0" applyFont="1" applyFill="1" applyBorder="1" applyAlignment="1">
      <alignment horizontal="center" wrapText="1"/>
    </xf>
    <xf numFmtId="0" fontId="28" fillId="11" borderId="6" xfId="0" applyFont="1" applyFill="1" applyBorder="1" applyAlignment="1">
      <alignment horizontal="center" wrapText="1"/>
    </xf>
    <xf numFmtId="0" fontId="32" fillId="4" borderId="6" xfId="0" applyFont="1" applyFill="1" applyBorder="1" applyAlignment="1">
      <alignment horizontal="center" wrapText="1"/>
    </xf>
    <xf numFmtId="9" fontId="32" fillId="4" borderId="6" xfId="2" applyFont="1" applyFill="1" applyBorder="1" applyAlignment="1">
      <alignment horizontal="center" wrapText="1"/>
    </xf>
    <xf numFmtId="9" fontId="32" fillId="10" borderId="0" xfId="2" applyFont="1" applyFill="1" applyBorder="1" applyAlignment="1">
      <alignment horizontal="center" wrapText="1"/>
    </xf>
    <xf numFmtId="9" fontId="32" fillId="4" borderId="6" xfId="0" applyNumberFormat="1" applyFont="1" applyFill="1" applyBorder="1" applyAlignment="1">
      <alignment horizontal="center"/>
    </xf>
    <xf numFmtId="9" fontId="36" fillId="10" borderId="0" xfId="0" applyNumberFormat="1" applyFont="1" applyFill="1" applyAlignment="1">
      <alignment horizontal="center"/>
    </xf>
    <xf numFmtId="0" fontId="0" fillId="0" borderId="0" xfId="5" applyFont="1" applyAlignment="1">
      <alignment horizontal="left" vertical="center"/>
    </xf>
    <xf numFmtId="0" fontId="98" fillId="0" borderId="0" xfId="0" applyFont="1"/>
    <xf numFmtId="0" fontId="0" fillId="10" borderId="0" xfId="5" applyFont="1" applyFill="1" applyAlignment="1">
      <alignment horizontal="left" vertical="center"/>
    </xf>
    <xf numFmtId="0" fontId="0" fillId="0" borderId="0" xfId="5" applyFont="1" applyAlignment="1">
      <alignment horizontal="left" vertical="center" wrapText="1"/>
    </xf>
    <xf numFmtId="0" fontId="32" fillId="0" borderId="6" xfId="0" applyFont="1" applyBorder="1" applyAlignment="1">
      <alignment horizontal="center"/>
    </xf>
    <xf numFmtId="0" fontId="32" fillId="0" borderId="6" xfId="0" applyFont="1" applyBorder="1" applyAlignment="1">
      <alignment horizontal="left" vertical="center"/>
    </xf>
    <xf numFmtId="0" fontId="32" fillId="0" borderId="8" xfId="0" applyFont="1" applyBorder="1" applyAlignment="1">
      <alignment vertical="center"/>
    </xf>
    <xf numFmtId="0" fontId="0" fillId="0" borderId="0" xfId="5" applyFont="1" applyAlignment="1">
      <alignment horizontal="left"/>
    </xf>
    <xf numFmtId="0" fontId="0" fillId="0" borderId="0" xfId="0" applyAlignment="1">
      <alignment horizontal="center"/>
    </xf>
    <xf numFmtId="0" fontId="74" fillId="10" borderId="0" xfId="0" applyFont="1" applyFill="1" applyAlignment="1">
      <alignment horizontal="center" vertical="center"/>
    </xf>
    <xf numFmtId="3" fontId="32" fillId="0" borderId="6" xfId="0" applyNumberFormat="1" applyFont="1" applyBorder="1" applyAlignment="1">
      <alignment horizontal="center" vertical="center"/>
    </xf>
    <xf numFmtId="3" fontId="32" fillId="0" borderId="5" xfId="0" applyNumberFormat="1" applyFont="1" applyBorder="1" applyAlignment="1">
      <alignment horizontal="center" vertical="center"/>
    </xf>
    <xf numFmtId="0" fontId="32" fillId="0" borderId="5" xfId="0" applyFont="1" applyBorder="1" applyAlignment="1">
      <alignment horizontal="center" vertical="center"/>
    </xf>
    <xf numFmtId="0" fontId="28" fillId="10" borderId="2" xfId="0" applyFont="1" applyFill="1" applyBorder="1" applyAlignment="1">
      <alignment horizontal="center" vertical="center"/>
    </xf>
    <xf numFmtId="0" fontId="32" fillId="10" borderId="14" xfId="0" applyFont="1" applyFill="1" applyBorder="1" applyAlignment="1">
      <alignment vertical="center"/>
    </xf>
    <xf numFmtId="0" fontId="32" fillId="14" borderId="2" xfId="0" applyFont="1" applyFill="1" applyBorder="1" applyAlignment="1">
      <alignment horizontal="center" vertical="center"/>
    </xf>
    <xf numFmtId="1" fontId="61" fillId="4" borderId="2" xfId="0" applyNumberFormat="1" applyFont="1" applyFill="1" applyBorder="1" applyAlignment="1">
      <alignment horizontal="center" vertical="center"/>
    </xf>
    <xf numFmtId="164" fontId="28" fillId="4" borderId="2" xfId="0" applyNumberFormat="1" applyFont="1" applyFill="1" applyBorder="1" applyAlignment="1">
      <alignment horizontal="center" vertical="center"/>
    </xf>
    <xf numFmtId="0" fontId="28" fillId="0" borderId="2" xfId="0" applyFont="1" applyBorder="1" applyAlignment="1">
      <alignment vertical="center"/>
    </xf>
    <xf numFmtId="0" fontId="28" fillId="11" borderId="6" xfId="0" applyFont="1" applyFill="1" applyBorder="1" applyAlignment="1">
      <alignment horizontal="left" vertical="center"/>
    </xf>
    <xf numFmtId="0" fontId="28" fillId="10" borderId="2" xfId="0" quotePrefix="1" applyFont="1" applyFill="1" applyBorder="1" applyAlignment="1">
      <alignment horizontal="center" vertical="center"/>
    </xf>
    <xf numFmtId="0" fontId="0" fillId="0" borderId="8" xfId="0" applyBorder="1"/>
    <xf numFmtId="0" fontId="28" fillId="10" borderId="12" xfId="0" applyFont="1" applyFill="1" applyBorder="1" applyAlignment="1">
      <alignment horizontal="center" vertical="center"/>
    </xf>
    <xf numFmtId="0" fontId="28" fillId="10" borderId="14" xfId="0" applyFont="1" applyFill="1" applyBorder="1" applyAlignment="1">
      <alignment horizontal="center" vertical="center"/>
    </xf>
    <xf numFmtId="0" fontId="28" fillId="10" borderId="13" xfId="0" applyFont="1" applyFill="1" applyBorder="1" applyAlignment="1">
      <alignment horizontal="center" vertical="center"/>
    </xf>
    <xf numFmtId="1" fontId="32" fillId="0" borderId="6" xfId="0" applyNumberFormat="1" applyFont="1" applyBorder="1" applyAlignment="1">
      <alignment horizontal="center" vertical="center"/>
    </xf>
    <xf numFmtId="0" fontId="28" fillId="0" borderId="2" xfId="0" applyFont="1" applyBorder="1" applyAlignment="1">
      <alignment horizontal="center" vertical="center"/>
    </xf>
    <xf numFmtId="9" fontId="28" fillId="4" borderId="2" xfId="2" applyFont="1" applyFill="1" applyBorder="1" applyAlignment="1">
      <alignment horizontal="center" vertical="center"/>
    </xf>
    <xf numFmtId="0" fontId="32" fillId="10" borderId="2" xfId="0" applyFont="1" applyFill="1" applyBorder="1" applyAlignment="1">
      <alignment horizontal="center" vertical="center"/>
    </xf>
    <xf numFmtId="0" fontId="42" fillId="0" borderId="2" xfId="0" applyFont="1" applyBorder="1" applyAlignment="1">
      <alignment horizontal="center"/>
    </xf>
    <xf numFmtId="0" fontId="32" fillId="0" borderId="2" xfId="0" applyFont="1" applyBorder="1" applyAlignment="1">
      <alignment horizontal="center" vertical="center"/>
    </xf>
    <xf numFmtId="0" fontId="28" fillId="11" borderId="10" xfId="0" applyFont="1" applyFill="1" applyBorder="1" applyAlignment="1">
      <alignment horizontal="left" vertical="center"/>
    </xf>
    <xf numFmtId="0" fontId="99" fillId="10" borderId="0" xfId="0" applyFont="1" applyFill="1" applyAlignment="1">
      <alignment vertical="center"/>
    </xf>
    <xf numFmtId="0" fontId="99" fillId="10" borderId="0" xfId="0" applyFont="1" applyFill="1" applyAlignment="1">
      <alignment horizontal="center" vertical="center"/>
    </xf>
    <xf numFmtId="0" fontId="99" fillId="10" borderId="0" xfId="0" applyFont="1" applyFill="1" applyAlignment="1">
      <alignment horizontal="left" vertical="center"/>
    </xf>
    <xf numFmtId="0" fontId="100" fillId="10" borderId="0" xfId="0" applyFont="1" applyFill="1"/>
    <xf numFmtId="1" fontId="36" fillId="10" borderId="0" xfId="3" applyNumberFormat="1" applyFont="1" applyFill="1" applyBorder="1" applyAlignment="1">
      <alignment vertical="center" wrapText="1"/>
    </xf>
    <xf numFmtId="0" fontId="0" fillId="10" borderId="0" xfId="0" applyFill="1" applyAlignment="1">
      <alignment horizontal="center"/>
    </xf>
    <xf numFmtId="0" fontId="101" fillId="10" borderId="0" xfId="0" applyFont="1" applyFill="1" applyAlignment="1">
      <alignment vertical="center"/>
    </xf>
    <xf numFmtId="0" fontId="36" fillId="34" borderId="2" xfId="0" applyFont="1" applyFill="1" applyBorder="1" applyAlignment="1">
      <alignment vertical="center"/>
    </xf>
    <xf numFmtId="0" fontId="36" fillId="34" borderId="3" xfId="0" applyFont="1" applyFill="1" applyBorder="1" applyAlignment="1">
      <alignment vertical="center"/>
    </xf>
    <xf numFmtId="0" fontId="36" fillId="34" borderId="4" xfId="0" applyFont="1" applyFill="1" applyBorder="1" applyAlignment="1">
      <alignment vertical="center"/>
    </xf>
    <xf numFmtId="0" fontId="32" fillId="34" borderId="6" xfId="0" applyFont="1" applyFill="1" applyBorder="1" applyAlignment="1">
      <alignment horizontal="left" vertical="center" wrapText="1"/>
    </xf>
    <xf numFmtId="9" fontId="32" fillId="34" borderId="6" xfId="0" applyNumberFormat="1" applyFont="1" applyFill="1" applyBorder="1" applyAlignment="1">
      <alignment horizontal="center" vertical="center" wrapText="1"/>
    </xf>
    <xf numFmtId="9" fontId="33" fillId="34" borderId="6" xfId="0" applyNumberFormat="1" applyFont="1" applyFill="1" applyBorder="1" applyAlignment="1">
      <alignment horizontal="center" vertical="center" wrapText="1"/>
    </xf>
    <xf numFmtId="0" fontId="33" fillId="34" borderId="6" xfId="0" applyFont="1" applyFill="1" applyBorder="1" applyAlignment="1">
      <alignment horizontal="left" vertical="center" wrapText="1"/>
    </xf>
    <xf numFmtId="165" fontId="28" fillId="34" borderId="6" xfId="0" applyNumberFormat="1" applyFont="1" applyFill="1" applyBorder="1" applyAlignment="1">
      <alignment horizontal="center" vertical="center" wrapText="1"/>
    </xf>
    <xf numFmtId="165" fontId="33" fillId="34" borderId="6" xfId="0" applyNumberFormat="1" applyFont="1" applyFill="1" applyBorder="1" applyAlignment="1">
      <alignment horizontal="center" vertical="center" wrapText="1"/>
    </xf>
    <xf numFmtId="0" fontId="33" fillId="34" borderId="0" xfId="0" applyFont="1" applyFill="1" applyAlignment="1">
      <alignment horizontal="left" vertical="center"/>
    </xf>
    <xf numFmtId="0" fontId="33" fillId="12" borderId="0" xfId="0" applyFont="1" applyFill="1" applyAlignment="1">
      <alignment horizontal="left" vertical="center"/>
    </xf>
    <xf numFmtId="0" fontId="0" fillId="0" borderId="0" xfId="0" applyAlignment="1">
      <alignment horizontal="left" vertical="center"/>
    </xf>
    <xf numFmtId="0" fontId="8" fillId="10" borderId="0" xfId="0" applyFont="1" applyFill="1" applyAlignment="1">
      <alignment vertical="center"/>
    </xf>
    <xf numFmtId="0" fontId="4" fillId="3" borderId="6" xfId="3" applyFill="1" applyBorder="1" applyAlignment="1">
      <alignment vertical="center" wrapText="1"/>
    </xf>
    <xf numFmtId="0" fontId="102" fillId="0" borderId="0" xfId="0" applyFont="1"/>
    <xf numFmtId="0" fontId="21" fillId="10" borderId="4" xfId="0" applyFont="1" applyFill="1" applyBorder="1" applyAlignment="1">
      <alignment horizontal="center" vertical="center" wrapText="1"/>
    </xf>
    <xf numFmtId="168" fontId="33" fillId="0" borderId="6" xfId="0" applyNumberFormat="1" applyFont="1" applyBorder="1" applyAlignment="1">
      <alignment vertical="center"/>
    </xf>
    <xf numFmtId="0" fontId="32" fillId="0" borderId="0" xfId="0" applyFont="1"/>
    <xf numFmtId="0" fontId="28" fillId="0" borderId="0" xfId="0" applyFont="1" applyAlignment="1">
      <alignment horizontal="left" vertical="center"/>
    </xf>
    <xf numFmtId="0" fontId="32" fillId="0" borderId="0" xfId="0" applyFont="1" applyAlignment="1">
      <alignment horizontal="left" vertical="center"/>
    </xf>
    <xf numFmtId="0" fontId="36" fillId="11" borderId="3" xfId="0" applyFont="1" applyFill="1" applyBorder="1" applyAlignment="1">
      <alignment horizontal="center"/>
    </xf>
    <xf numFmtId="0" fontId="36" fillId="34" borderId="3" xfId="0" applyFont="1" applyFill="1" applyBorder="1" applyAlignment="1">
      <alignment horizontal="center"/>
    </xf>
    <xf numFmtId="0" fontId="32" fillId="10" borderId="0" xfId="0" applyFont="1" applyFill="1" applyAlignment="1">
      <alignment horizontal="center"/>
    </xf>
    <xf numFmtId="0" fontId="70" fillId="10" borderId="0" xfId="0" applyFont="1" applyFill="1" applyAlignment="1">
      <alignment horizontal="center"/>
    </xf>
    <xf numFmtId="0" fontId="104" fillId="10" borderId="0" xfId="0" applyFont="1" applyFill="1" applyAlignment="1">
      <alignment horizontal="center"/>
    </xf>
    <xf numFmtId="0" fontId="32" fillId="10" borderId="6" xfId="0" applyFont="1" applyFill="1" applyBorder="1" applyAlignment="1">
      <alignment horizontal="center" wrapText="1"/>
    </xf>
    <xf numFmtId="0" fontId="32" fillId="10" borderId="0" xfId="0" applyFont="1" applyFill="1" applyAlignment="1">
      <alignment horizontal="center" wrapText="1"/>
    </xf>
    <xf numFmtId="0" fontId="32" fillId="12" borderId="0" xfId="0" applyFont="1" applyFill="1" applyAlignment="1">
      <alignment horizontal="center"/>
    </xf>
    <xf numFmtId="0" fontId="32" fillId="10" borderId="0" xfId="0" applyFont="1" applyFill="1" applyAlignment="1">
      <alignment horizontal="center" readingOrder="1"/>
    </xf>
    <xf numFmtId="0" fontId="42" fillId="0" borderId="0" xfId="0" applyFont="1" applyAlignment="1">
      <alignment horizontal="center"/>
    </xf>
    <xf numFmtId="0" fontId="28" fillId="0" borderId="6" xfId="0" applyFont="1" applyBorder="1" applyAlignment="1">
      <alignment horizontal="center"/>
    </xf>
    <xf numFmtId="0" fontId="4" fillId="0" borderId="0" xfId="3" applyFill="1" applyAlignment="1">
      <alignment horizontal="justify" vertical="center"/>
    </xf>
    <xf numFmtId="0" fontId="32" fillId="0" borderId="0" xfId="0" applyFont="1" applyAlignment="1">
      <alignment vertical="center"/>
    </xf>
    <xf numFmtId="0" fontId="31" fillId="24" borderId="6" xfId="0" applyFont="1" applyFill="1" applyBorder="1" applyAlignment="1">
      <alignment vertical="center" wrapText="1"/>
    </xf>
    <xf numFmtId="170" fontId="31" fillId="24" borderId="6" xfId="6" applyNumberFormat="1" applyFont="1" applyFill="1" applyBorder="1" applyAlignment="1">
      <alignment vertical="center" wrapText="1"/>
    </xf>
    <xf numFmtId="0" fontId="51" fillId="8" borderId="6" xfId="0" applyFont="1" applyFill="1" applyBorder="1" applyAlignment="1">
      <alignment vertical="center" wrapText="1"/>
    </xf>
    <xf numFmtId="0" fontId="24" fillId="0" borderId="6" xfId="0" quotePrefix="1" applyFont="1" applyBorder="1" applyAlignment="1">
      <alignment vertical="center" wrapText="1"/>
    </xf>
    <xf numFmtId="1" fontId="33" fillId="0" borderId="4" xfId="0" applyNumberFormat="1" applyFont="1" applyBorder="1" applyAlignment="1">
      <alignment horizontal="center" vertical="center" wrapText="1"/>
    </xf>
    <xf numFmtId="0" fontId="41" fillId="0" borderId="0" xfId="0" applyFont="1" applyAlignment="1">
      <alignment vertical="center"/>
    </xf>
    <xf numFmtId="0" fontId="28" fillId="0" borderId="0" xfId="0" applyFont="1" applyAlignment="1">
      <alignment horizontal="justify" vertical="center"/>
    </xf>
    <xf numFmtId="0" fontId="0" fillId="0" borderId="0" xfId="0" applyAlignment="1">
      <alignment horizontal="right"/>
    </xf>
    <xf numFmtId="0" fontId="32" fillId="0" borderId="6" xfId="3" applyFont="1" applyFill="1" applyBorder="1" applyAlignment="1">
      <alignment horizontal="center" vertical="center" wrapText="1"/>
    </xf>
    <xf numFmtId="0" fontId="26" fillId="0" borderId="0" xfId="0" applyFont="1" applyAlignment="1">
      <alignment horizontal="right" vertical="center" wrapText="1"/>
    </xf>
    <xf numFmtId="0" fontId="105" fillId="0" borderId="0" xfId="0" applyFont="1" applyAlignment="1">
      <alignment wrapText="1"/>
    </xf>
    <xf numFmtId="0" fontId="5" fillId="0" borderId="0" xfId="0" applyFont="1" applyAlignment="1">
      <alignment horizontal="right"/>
    </xf>
    <xf numFmtId="0" fontId="103" fillId="0" borderId="0" xfId="0" applyFont="1" applyAlignment="1">
      <alignment horizontal="right"/>
    </xf>
    <xf numFmtId="0" fontId="107" fillId="0" borderId="0" xfId="0" applyFont="1"/>
    <xf numFmtId="2" fontId="28" fillId="0" borderId="6" xfId="0" applyNumberFormat="1" applyFont="1" applyBorder="1" applyAlignment="1">
      <alignment horizontal="center"/>
    </xf>
    <xf numFmtId="0" fontId="28" fillId="10" borderId="6" xfId="0" applyFont="1" applyFill="1" applyBorder="1" applyAlignment="1">
      <alignment horizontal="center"/>
    </xf>
    <xf numFmtId="0" fontId="32" fillId="10" borderId="6" xfId="0" applyFont="1" applyFill="1" applyBorder="1" applyAlignment="1">
      <alignment horizontal="center"/>
    </xf>
    <xf numFmtId="0" fontId="28" fillId="0" borderId="8" xfId="0" applyFont="1" applyBorder="1" applyAlignment="1">
      <alignment horizontal="center" vertical="center"/>
    </xf>
    <xf numFmtId="2" fontId="28" fillId="10" borderId="6" xfId="0" applyNumberFormat="1" applyFont="1" applyFill="1" applyBorder="1" applyAlignment="1">
      <alignment horizontal="center"/>
    </xf>
    <xf numFmtId="0" fontId="33" fillId="10" borderId="6" xfId="0" applyFont="1" applyFill="1" applyBorder="1" applyAlignment="1">
      <alignment horizontal="center"/>
    </xf>
    <xf numFmtId="0" fontId="33" fillId="12" borderId="6" xfId="0" applyFont="1" applyFill="1" applyBorder="1" applyAlignment="1">
      <alignment horizontal="center" vertical="center"/>
    </xf>
    <xf numFmtId="0" fontId="33" fillId="12" borderId="6" xfId="0" applyFont="1" applyFill="1" applyBorder="1" applyAlignment="1">
      <alignment horizontal="center"/>
    </xf>
    <xf numFmtId="0" fontId="32" fillId="12" borderId="6" xfId="0" applyFont="1" applyFill="1" applyBorder="1" applyAlignment="1">
      <alignment horizontal="center" vertical="center"/>
    </xf>
    <xf numFmtId="0" fontId="32" fillId="12" borderId="6" xfId="0" applyFont="1" applyFill="1" applyBorder="1" applyAlignment="1">
      <alignment horizontal="center"/>
    </xf>
    <xf numFmtId="2" fontId="32" fillId="0" borderId="6" xfId="0" applyNumberFormat="1" applyFont="1" applyBorder="1" applyAlignment="1">
      <alignment horizontal="center"/>
    </xf>
    <xf numFmtId="0" fontId="32" fillId="0" borderId="5" xfId="0" applyFont="1" applyBorder="1" applyAlignment="1">
      <alignment vertical="center"/>
    </xf>
    <xf numFmtId="2" fontId="32" fillId="0" borderId="5" xfId="0" applyNumberFormat="1" applyFont="1" applyBorder="1" applyAlignment="1">
      <alignment horizontal="center"/>
    </xf>
    <xf numFmtId="0" fontId="28" fillId="0" borderId="6" xfId="0" applyFont="1" applyBorder="1" applyAlignment="1">
      <alignment vertical="center" wrapText="1"/>
    </xf>
    <xf numFmtId="0" fontId="28" fillId="10" borderId="5" xfId="0" applyFont="1" applyFill="1" applyBorder="1" applyAlignment="1">
      <alignment horizontal="center" vertical="center" wrapText="1"/>
    </xf>
    <xf numFmtId="0" fontId="28" fillId="10" borderId="5" xfId="0" applyFont="1" applyFill="1" applyBorder="1" applyAlignment="1">
      <alignment horizontal="center" wrapText="1"/>
    </xf>
    <xf numFmtId="0" fontId="33" fillId="10" borderId="5" xfId="0" applyFont="1" applyFill="1" applyBorder="1" applyAlignment="1">
      <alignment vertical="center"/>
    </xf>
    <xf numFmtId="0" fontId="33" fillId="10" borderId="5" xfId="0" applyFont="1" applyFill="1" applyBorder="1" applyAlignment="1">
      <alignment horizontal="center" vertical="center"/>
    </xf>
    <xf numFmtId="0" fontId="33" fillId="10" borderId="5" xfId="0" applyFont="1" applyFill="1" applyBorder="1" applyAlignment="1">
      <alignment horizontal="center"/>
    </xf>
    <xf numFmtId="0" fontId="33" fillId="0" borderId="6" xfId="0" applyFont="1" applyBorder="1" applyAlignment="1">
      <alignment horizontal="center" vertical="center"/>
    </xf>
    <xf numFmtId="0" fontId="33" fillId="0" borderId="6" xfId="0" applyFont="1" applyBorder="1" applyAlignment="1">
      <alignment horizontal="center"/>
    </xf>
    <xf numFmtId="0" fontId="32" fillId="10" borderId="5" xfId="0" applyFont="1" applyFill="1" applyBorder="1" applyAlignment="1">
      <alignment horizontal="center"/>
    </xf>
    <xf numFmtId="0" fontId="32" fillId="12" borderId="5" xfId="0" applyFont="1" applyFill="1" applyBorder="1" applyAlignment="1">
      <alignment horizontal="center" vertical="center"/>
    </xf>
    <xf numFmtId="0" fontId="32" fillId="12" borderId="5" xfId="0" applyFont="1" applyFill="1" applyBorder="1" applyAlignment="1">
      <alignment horizontal="center"/>
    </xf>
    <xf numFmtId="0" fontId="32" fillId="0" borderId="5" xfId="0" applyFont="1" applyBorder="1" applyAlignment="1">
      <alignment horizontal="center"/>
    </xf>
    <xf numFmtId="0" fontId="33" fillId="4" borderId="5" xfId="0" applyFont="1" applyFill="1" applyBorder="1" applyAlignment="1">
      <alignment horizontal="center"/>
    </xf>
    <xf numFmtId="0" fontId="28" fillId="10" borderId="1" xfId="0" applyFont="1" applyFill="1" applyBorder="1" applyAlignment="1">
      <alignment vertical="center"/>
    </xf>
    <xf numFmtId="0" fontId="28" fillId="14" borderId="6" xfId="0" applyFont="1" applyFill="1" applyBorder="1" applyAlignment="1">
      <alignment horizontal="center" vertical="center"/>
    </xf>
    <xf numFmtId="0" fontId="28" fillId="0" borderId="6" xfId="0" applyFont="1" applyBorder="1" applyAlignment="1">
      <alignment horizontal="left" vertical="center"/>
    </xf>
    <xf numFmtId="0" fontId="24" fillId="0" borderId="12" xfId="0" applyFont="1" applyBorder="1" applyAlignment="1">
      <alignment vertical="center" wrapText="1"/>
    </xf>
    <xf numFmtId="0" fontId="26" fillId="10" borderId="6" xfId="0" applyFont="1" applyFill="1" applyBorder="1" applyAlignment="1">
      <alignment horizontal="center" vertical="center" wrapText="1"/>
    </xf>
    <xf numFmtId="0" fontId="25" fillId="10" borderId="0" xfId="0" applyFont="1" applyFill="1" applyAlignment="1">
      <alignment wrapText="1"/>
    </xf>
    <xf numFmtId="0" fontId="26" fillId="10" borderId="1" xfId="0" applyFont="1" applyFill="1" applyBorder="1" applyAlignment="1">
      <alignment vertical="center" wrapText="1"/>
    </xf>
    <xf numFmtId="0" fontId="108" fillId="10" borderId="0" xfId="0" applyFont="1" applyFill="1" applyAlignment="1">
      <alignment vertical="center"/>
    </xf>
    <xf numFmtId="0" fontId="109" fillId="10" borderId="0" xfId="0" applyFont="1" applyFill="1" applyAlignment="1">
      <alignment vertical="center"/>
    </xf>
    <xf numFmtId="0" fontId="109" fillId="10" borderId="0" xfId="0" applyFont="1" applyFill="1"/>
    <xf numFmtId="0" fontId="110" fillId="10" borderId="0" xfId="0" applyFont="1" applyFill="1"/>
    <xf numFmtId="0" fontId="28" fillId="0" borderId="0" xfId="0" applyFont="1" applyAlignment="1">
      <alignment horizontal="left"/>
    </xf>
    <xf numFmtId="0" fontId="30" fillId="5" borderId="15" xfId="0" applyFont="1" applyFill="1" applyBorder="1" applyAlignment="1">
      <alignment horizontal="center" vertical="center" wrapText="1"/>
    </xf>
    <xf numFmtId="9" fontId="31" fillId="4" borderId="5" xfId="0" applyNumberFormat="1" applyFont="1" applyFill="1" applyBorder="1" applyAlignment="1">
      <alignment horizontal="center" vertical="center" wrapText="1"/>
    </xf>
    <xf numFmtId="169" fontId="28" fillId="0" borderId="6" xfId="0" applyNumberFormat="1" applyFont="1" applyBorder="1" applyAlignment="1">
      <alignment horizontal="center" vertical="center"/>
    </xf>
    <xf numFmtId="11" fontId="33" fillId="10" borderId="6" xfId="0" applyNumberFormat="1" applyFont="1" applyFill="1" applyBorder="1" applyAlignment="1">
      <alignment vertical="center" wrapText="1"/>
    </xf>
    <xf numFmtId="43" fontId="0" fillId="10" borderId="0" xfId="1" applyFont="1" applyFill="1"/>
    <xf numFmtId="0" fontId="32" fillId="9" borderId="0" xfId="0" applyFont="1" applyFill="1"/>
    <xf numFmtId="0" fontId="42" fillId="9" borderId="0" xfId="0" applyFont="1" applyFill="1"/>
    <xf numFmtId="0" fontId="32" fillId="9" borderId="0" xfId="0" applyFont="1" applyFill="1" applyAlignment="1">
      <alignment horizontal="left" vertical="top" wrapText="1"/>
    </xf>
    <xf numFmtId="0" fontId="32" fillId="9" borderId="0" xfId="0" applyFont="1" applyFill="1" applyAlignment="1">
      <alignment horizontal="left" vertical="top"/>
    </xf>
    <xf numFmtId="0" fontId="28" fillId="10" borderId="0" xfId="0" applyFont="1" applyFill="1" applyAlignment="1">
      <alignment horizontal="left" vertical="center" wrapText="1"/>
    </xf>
    <xf numFmtId="0" fontId="33" fillId="0" borderId="0" xfId="0" applyFont="1" applyAlignment="1">
      <alignment horizontal="left" vertical="top" wrapText="1"/>
    </xf>
    <xf numFmtId="0" fontId="33" fillId="10" borderId="0" xfId="0" applyFont="1" applyFill="1" applyAlignment="1">
      <alignment horizontal="left" vertical="top" wrapText="1"/>
    </xf>
    <xf numFmtId="0" fontId="32" fillId="10" borderId="0" xfId="0" applyFont="1" applyFill="1" applyAlignment="1">
      <alignment horizontal="left" vertical="center" wrapText="1"/>
    </xf>
    <xf numFmtId="0" fontId="33" fillId="0" borderId="2" xfId="0" applyFont="1" applyBorder="1" applyAlignment="1">
      <alignment vertical="center" wrapText="1"/>
    </xf>
    <xf numFmtId="0" fontId="33" fillId="10" borderId="6" xfId="3" applyFont="1" applyFill="1" applyBorder="1" applyAlignment="1">
      <alignment horizontal="left" vertical="center" wrapText="1" indent="1"/>
    </xf>
    <xf numFmtId="0" fontId="30" fillId="5" borderId="6" xfId="0" applyFont="1" applyFill="1" applyBorder="1" applyAlignment="1">
      <alignment horizontal="center" vertical="center"/>
    </xf>
    <xf numFmtId="0" fontId="36" fillId="4" borderId="6" xfId="0" applyFont="1" applyFill="1" applyBorder="1" applyAlignment="1">
      <alignment horizontal="center" vertical="center"/>
    </xf>
    <xf numFmtId="3" fontId="31" fillId="10" borderId="0" xfId="0" applyNumberFormat="1" applyFont="1" applyFill="1" applyAlignment="1">
      <alignment vertical="center" wrapText="1"/>
    </xf>
    <xf numFmtId="0" fontId="33" fillId="0" borderId="5" xfId="0" applyFont="1" applyBorder="1" applyAlignment="1">
      <alignment vertical="center" wrapText="1"/>
    </xf>
    <xf numFmtId="3" fontId="32" fillId="0" borderId="6" xfId="0" applyNumberFormat="1" applyFont="1" applyBorder="1" applyAlignment="1">
      <alignment horizontal="center" vertical="center" wrapText="1"/>
    </xf>
    <xf numFmtId="0" fontId="43" fillId="0" borderId="0" xfId="0" applyFont="1" applyAlignment="1">
      <alignment vertical="center"/>
    </xf>
    <xf numFmtId="0" fontId="30" fillId="10" borderId="0" xfId="0" applyFont="1" applyFill="1" applyAlignment="1">
      <alignment horizontal="center" vertical="center" wrapText="1"/>
    </xf>
    <xf numFmtId="0" fontId="31" fillId="11" borderId="3" xfId="0" applyFont="1" applyFill="1" applyBorder="1" applyAlignment="1">
      <alignment horizontal="right" vertical="center" wrapText="1"/>
    </xf>
    <xf numFmtId="0" fontId="31" fillId="11" borderId="4" xfId="0" applyFont="1" applyFill="1" applyBorder="1" applyAlignment="1">
      <alignment horizontal="right" vertical="center" wrapText="1"/>
    </xf>
    <xf numFmtId="0" fontId="61" fillId="4" borderId="6" xfId="0" applyFont="1" applyFill="1" applyBorder="1" applyAlignment="1">
      <alignment vertical="center" wrapText="1"/>
    </xf>
    <xf numFmtId="3" fontId="31" fillId="4" borderId="5" xfId="0" applyNumberFormat="1" applyFont="1" applyFill="1" applyBorder="1" applyAlignment="1">
      <alignment horizontal="center" vertical="center" wrapText="1"/>
    </xf>
    <xf numFmtId="3" fontId="61" fillId="4" borderId="6" xfId="0" applyNumberFormat="1" applyFont="1" applyFill="1" applyBorder="1" applyAlignment="1">
      <alignment horizontal="center" vertical="center" wrapText="1"/>
    </xf>
    <xf numFmtId="165" fontId="61" fillId="4" borderId="6" xfId="2" applyNumberFormat="1" applyFont="1" applyFill="1" applyBorder="1" applyAlignment="1">
      <alignment horizontal="center" vertical="center" wrapText="1"/>
    </xf>
    <xf numFmtId="9" fontId="61" fillId="4" borderId="6" xfId="2" applyFont="1" applyFill="1" applyBorder="1" applyAlignment="1">
      <alignment horizontal="center" vertical="center" wrapText="1"/>
    </xf>
    <xf numFmtId="9" fontId="61" fillId="1" borderId="6" xfId="2" applyFont="1" applyFill="1" applyBorder="1" applyAlignment="1">
      <alignment horizontal="center" vertical="center" wrapText="1"/>
    </xf>
    <xf numFmtId="3" fontId="33" fillId="14" borderId="6" xfId="0" applyNumberFormat="1" applyFont="1" applyFill="1" applyBorder="1" applyAlignment="1">
      <alignment horizontal="center" vertical="center" wrapText="1"/>
    </xf>
    <xf numFmtId="3" fontId="33" fillId="10" borderId="0" xfId="0" applyNumberFormat="1" applyFont="1" applyFill="1" applyAlignment="1">
      <alignment vertical="center" wrapText="1"/>
    </xf>
    <xf numFmtId="0" fontId="31" fillId="11" borderId="4" xfId="0" applyFont="1" applyFill="1" applyBorder="1" applyAlignment="1">
      <alignment horizontal="center" vertical="center" wrapText="1"/>
    </xf>
    <xf numFmtId="0" fontId="28" fillId="10" borderId="6" xfId="0" applyFont="1" applyFill="1" applyBorder="1"/>
    <xf numFmtId="165" fontId="31" fillId="4" borderId="6" xfId="2" applyNumberFormat="1" applyFont="1" applyFill="1" applyBorder="1" applyAlignment="1">
      <alignment horizontal="center" vertical="center" wrapText="1"/>
    </xf>
    <xf numFmtId="165" fontId="61" fillId="1" borderId="6" xfId="2" applyNumberFormat="1" applyFont="1" applyFill="1" applyBorder="1" applyAlignment="1">
      <alignment horizontal="center" vertical="center" wrapText="1"/>
    </xf>
    <xf numFmtId="165" fontId="33" fillId="10" borderId="0" xfId="2" applyNumberFormat="1" applyFont="1" applyFill="1" applyAlignment="1">
      <alignment horizontal="right" vertical="center" wrapText="1"/>
    </xf>
    <xf numFmtId="0" fontId="51" fillId="5" borderId="6" xfId="0" applyFont="1" applyFill="1" applyBorder="1" applyAlignment="1">
      <alignment vertical="center" wrapText="1"/>
    </xf>
    <xf numFmtId="9" fontId="33" fillId="0" borderId="6" xfId="2" applyFont="1" applyBorder="1" applyAlignment="1">
      <alignment horizontal="center" vertical="center" wrapText="1"/>
    </xf>
    <xf numFmtId="3" fontId="28" fillId="10" borderId="0" xfId="0" applyNumberFormat="1" applyFont="1" applyFill="1"/>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3" fillId="10" borderId="0" xfId="0" applyFont="1" applyFill="1" applyAlignment="1">
      <alignment horizontal="left" vertical="top"/>
    </xf>
    <xf numFmtId="0" fontId="51" fillId="5" borderId="6" xfId="0" applyFont="1" applyFill="1" applyBorder="1" applyAlignment="1">
      <alignment horizontal="center" vertical="center" wrapText="1"/>
    </xf>
    <xf numFmtId="3" fontId="28" fillId="10" borderId="6" xfId="0" applyNumberFormat="1" applyFont="1" applyFill="1" applyBorder="1" applyAlignment="1">
      <alignment horizontal="center"/>
    </xf>
    <xf numFmtId="3" fontId="33" fillId="10" borderId="0" xfId="0" applyNumberFormat="1" applyFont="1" applyFill="1" applyAlignment="1">
      <alignment horizontal="left" vertical="center" wrapText="1"/>
    </xf>
    <xf numFmtId="3" fontId="33" fillId="14" borderId="6" xfId="0" quotePrefix="1" applyNumberFormat="1" applyFont="1" applyFill="1" applyBorder="1" applyAlignment="1">
      <alignment horizontal="center" vertical="center" wrapText="1"/>
    </xf>
    <xf numFmtId="3" fontId="47" fillId="10" borderId="0" xfId="0" applyNumberFormat="1" applyFont="1" applyFill="1" applyAlignment="1">
      <alignment horizontal="center" vertical="center" wrapText="1"/>
    </xf>
    <xf numFmtId="0" fontId="47" fillId="10" borderId="0" xfId="0" applyFont="1" applyFill="1" applyAlignment="1">
      <alignment horizontal="center" vertical="center" wrapText="1"/>
    </xf>
    <xf numFmtId="3" fontId="47" fillId="10" borderId="0" xfId="0" applyNumberFormat="1" applyFont="1" applyFill="1" applyAlignment="1">
      <alignment horizontal="left" vertical="center"/>
    </xf>
    <xf numFmtId="9" fontId="47" fillId="10" borderId="0" xfId="0" applyNumberFormat="1" applyFont="1" applyFill="1" applyAlignment="1">
      <alignment horizontal="right" vertical="center" wrapText="1"/>
    </xf>
    <xf numFmtId="9" fontId="33" fillId="0" borderId="5" xfId="2" applyFont="1" applyBorder="1" applyAlignment="1">
      <alignment horizontal="center" vertical="center" wrapText="1"/>
    </xf>
    <xf numFmtId="0" fontId="28" fillId="10" borderId="6" xfId="0" applyFont="1" applyFill="1" applyBorder="1" applyAlignment="1">
      <alignment vertical="center" wrapText="1"/>
    </xf>
    <xf numFmtId="9" fontId="33" fillId="10" borderId="6" xfId="2" applyFont="1" applyFill="1" applyBorder="1" applyAlignment="1">
      <alignment horizontal="center" vertical="center" wrapText="1"/>
    </xf>
    <xf numFmtId="9" fontId="33" fillId="14" borderId="6" xfId="0" applyNumberFormat="1" applyFont="1" applyFill="1" applyBorder="1" applyAlignment="1">
      <alignment horizontal="center" vertical="center" wrapText="1"/>
    </xf>
    <xf numFmtId="0" fontId="65" fillId="10" borderId="0" xfId="0" applyFont="1" applyFill="1" applyAlignment="1">
      <alignment horizontal="left" vertical="center"/>
    </xf>
    <xf numFmtId="0" fontId="29" fillId="10" borderId="0" xfId="0" applyFont="1" applyFill="1" applyAlignment="1">
      <alignment horizontal="left" vertical="top"/>
    </xf>
    <xf numFmtId="0" fontId="36" fillId="10" borderId="0" xfId="0" applyFont="1" applyFill="1"/>
    <xf numFmtId="3" fontId="36" fillId="4" borderId="6" xfId="0" applyNumberFormat="1" applyFont="1" applyFill="1" applyBorder="1" applyAlignment="1">
      <alignment horizontal="center" vertical="center" wrapText="1"/>
    </xf>
    <xf numFmtId="0" fontId="36" fillId="10" borderId="0" xfId="0" applyFont="1" applyFill="1" applyAlignment="1">
      <alignment vertical="center" wrapText="1"/>
    </xf>
    <xf numFmtId="3" fontId="36" fillId="10" borderId="0" xfId="0" applyNumberFormat="1" applyFont="1" applyFill="1" applyAlignment="1">
      <alignment horizontal="center" vertical="center" wrapText="1"/>
    </xf>
    <xf numFmtId="9" fontId="36" fillId="10" borderId="0" xfId="2" applyFont="1" applyFill="1" applyAlignment="1">
      <alignment horizontal="center" vertical="center" wrapText="1"/>
    </xf>
    <xf numFmtId="3" fontId="36" fillId="10" borderId="0" xfId="0" applyNumberFormat="1" applyFont="1" applyFill="1" applyAlignment="1">
      <alignment horizontal="right" vertical="center" wrapText="1"/>
    </xf>
    <xf numFmtId="0" fontId="47" fillId="10" borderId="0" xfId="0" applyFont="1" applyFill="1" applyAlignment="1">
      <alignment horizontal="center" vertical="center"/>
    </xf>
    <xf numFmtId="0" fontId="33" fillId="9" borderId="6" xfId="0" applyFont="1" applyFill="1" applyBorder="1" applyAlignment="1">
      <alignment horizontal="center" vertical="center" wrapText="1"/>
    </xf>
    <xf numFmtId="3" fontId="33" fillId="9" borderId="6" xfId="0" applyNumberFormat="1" applyFont="1" applyFill="1" applyBorder="1" applyAlignment="1">
      <alignment horizontal="center" vertical="center" wrapText="1"/>
    </xf>
    <xf numFmtId="0" fontId="33" fillId="18" borderId="6" xfId="0" applyFont="1" applyFill="1" applyBorder="1" applyAlignment="1">
      <alignment horizontal="center" vertical="center" wrapText="1"/>
    </xf>
    <xf numFmtId="0" fontId="33" fillId="33" borderId="6" xfId="0" applyFont="1" applyFill="1" applyBorder="1" applyAlignment="1">
      <alignment horizontal="center" vertical="center" wrapText="1"/>
    </xf>
    <xf numFmtId="167" fontId="34" fillId="10" borderId="0" xfId="2" applyNumberFormat="1" applyFont="1" applyFill="1"/>
    <xf numFmtId="0" fontId="31" fillId="11" borderId="4" xfId="0" applyFont="1" applyFill="1" applyBorder="1" applyAlignment="1">
      <alignment horizontal="left" vertical="center" wrapText="1"/>
    </xf>
    <xf numFmtId="0" fontId="33" fillId="9" borderId="6" xfId="0" quotePrefix="1" applyFont="1" applyFill="1" applyBorder="1" applyAlignment="1">
      <alignment horizontal="center" vertical="center" wrapText="1"/>
    </xf>
    <xf numFmtId="0" fontId="36" fillId="19" borderId="6" xfId="0" applyFont="1" applyFill="1" applyBorder="1" applyAlignment="1">
      <alignment vertical="center" wrapText="1"/>
    </xf>
    <xf numFmtId="2" fontId="28" fillId="0" borderId="6" xfId="0" applyNumberFormat="1" applyFont="1" applyBorder="1" applyAlignment="1">
      <alignment horizontal="center" vertical="center"/>
    </xf>
    <xf numFmtId="2" fontId="28" fillId="10" borderId="6" xfId="0" applyNumberFormat="1" applyFont="1" applyFill="1" applyBorder="1" applyAlignment="1">
      <alignment horizontal="center" vertical="center"/>
    </xf>
    <xf numFmtId="0" fontId="32" fillId="0" borderId="0" xfId="0" applyFont="1" applyAlignment="1">
      <alignment horizontal="left" vertical="top" wrapText="1"/>
    </xf>
    <xf numFmtId="9" fontId="32" fillId="0" borderId="5" xfId="2" applyFont="1" applyBorder="1" applyAlignment="1">
      <alignment horizontal="center" vertical="center" wrapText="1"/>
    </xf>
    <xf numFmtId="9" fontId="32" fillId="0" borderId="6" xfId="2" applyFont="1" applyBorder="1" applyAlignment="1">
      <alignment horizontal="center" vertical="center" wrapText="1"/>
    </xf>
    <xf numFmtId="171" fontId="28" fillId="21" borderId="6" xfId="1" applyNumberFormat="1" applyFont="1" applyFill="1" applyBorder="1" applyAlignment="1">
      <alignment horizontal="left" vertical="center"/>
    </xf>
    <xf numFmtId="9" fontId="33" fillId="14" borderId="6" xfId="0" applyNumberFormat="1" applyFont="1" applyFill="1" applyBorder="1" applyAlignment="1">
      <alignment vertical="center" wrapText="1"/>
    </xf>
    <xf numFmtId="10" fontId="28" fillId="10" borderId="0" xfId="2" applyNumberFormat="1" applyFont="1" applyFill="1"/>
    <xf numFmtId="10" fontId="33" fillId="10" borderId="0" xfId="2" applyNumberFormat="1" applyFont="1" applyFill="1" applyAlignment="1">
      <alignment vertical="center" wrapText="1"/>
    </xf>
    <xf numFmtId="0" fontId="33" fillId="10" borderId="10" xfId="0" applyFont="1" applyFill="1" applyBorder="1" applyAlignment="1">
      <alignment horizontal="left" vertical="center" wrapText="1"/>
    </xf>
    <xf numFmtId="0" fontId="31" fillId="9" borderId="6" xfId="0" applyFont="1" applyFill="1" applyBorder="1" applyAlignment="1">
      <alignment horizontal="center" vertical="center" wrapText="1"/>
    </xf>
    <xf numFmtId="0" fontId="32" fillId="9" borderId="6" xfId="0" applyFont="1" applyFill="1" applyBorder="1" applyAlignment="1">
      <alignment horizontal="center" vertical="center" wrapText="1"/>
    </xf>
    <xf numFmtId="0" fontId="32" fillId="9" borderId="5" xfId="0" applyFont="1" applyFill="1" applyBorder="1" applyAlignment="1">
      <alignment horizontal="center" vertical="center" wrapText="1"/>
    </xf>
    <xf numFmtId="0" fontId="33" fillId="10" borderId="11" xfId="0" applyFont="1" applyFill="1" applyBorder="1" applyAlignment="1">
      <alignment vertical="center" wrapText="1"/>
    </xf>
    <xf numFmtId="9" fontId="32" fillId="32" borderId="6" xfId="0" applyNumberFormat="1" applyFont="1" applyFill="1" applyBorder="1" applyAlignment="1">
      <alignment horizontal="center" vertical="center" wrapText="1"/>
    </xf>
    <xf numFmtId="9" fontId="33" fillId="32" borderId="6" xfId="0" applyNumberFormat="1" applyFont="1" applyFill="1" applyBorder="1" applyAlignment="1">
      <alignment horizontal="center" vertical="center" wrapText="1"/>
    </xf>
    <xf numFmtId="3" fontId="33" fillId="36" borderId="6" xfId="0" applyNumberFormat="1" applyFont="1" applyFill="1" applyBorder="1" applyAlignment="1">
      <alignment horizontal="center" vertical="center" wrapText="1"/>
    </xf>
    <xf numFmtId="0" fontId="4" fillId="0" borderId="6" xfId="3" applyBorder="1" applyAlignment="1">
      <alignment vertical="center" wrapText="1"/>
    </xf>
    <xf numFmtId="0" fontId="113" fillId="4" borderId="0" xfId="3" applyFont="1" applyFill="1" applyBorder="1" applyAlignment="1">
      <alignment horizontal="left" vertical="center"/>
    </xf>
    <xf numFmtId="0" fontId="113" fillId="4" borderId="0" xfId="3" applyFont="1" applyFill="1" applyAlignment="1">
      <alignment horizontal="left" vertical="center"/>
    </xf>
    <xf numFmtId="0" fontId="114" fillId="31" borderId="0" xfId="3" quotePrefix="1" applyFont="1" applyFill="1" applyAlignment="1">
      <alignment vertical="center"/>
    </xf>
    <xf numFmtId="0" fontId="114" fillId="32" borderId="0" xfId="3" quotePrefix="1" applyFont="1" applyFill="1" applyAlignment="1">
      <alignment vertical="center"/>
    </xf>
    <xf numFmtId="9" fontId="33" fillId="0" borderId="11" xfId="0" applyNumberFormat="1" applyFont="1" applyBorder="1" applyAlignment="1">
      <alignment horizontal="center" vertical="center" wrapText="1"/>
    </xf>
    <xf numFmtId="9" fontId="33" fillId="10" borderId="11" xfId="0" applyNumberFormat="1" applyFont="1" applyFill="1" applyBorder="1" applyAlignment="1">
      <alignment horizontal="center" vertical="center" wrapText="1"/>
    </xf>
    <xf numFmtId="9" fontId="32" fillId="10" borderId="11" xfId="0" applyNumberFormat="1" applyFont="1" applyFill="1" applyBorder="1" applyAlignment="1">
      <alignment horizontal="center" vertical="center" wrapText="1"/>
    </xf>
    <xf numFmtId="0" fontId="33" fillId="23" borderId="4" xfId="0" applyFont="1" applyFill="1" applyBorder="1" applyAlignment="1">
      <alignment vertical="center" wrapText="1"/>
    </xf>
    <xf numFmtId="0" fontId="33" fillId="23" borderId="16" xfId="0" applyFont="1" applyFill="1" applyBorder="1" applyAlignment="1">
      <alignment vertical="center" wrapText="1"/>
    </xf>
    <xf numFmtId="0" fontId="33" fillId="23" borderId="1" xfId="0" applyFont="1" applyFill="1" applyBorder="1" applyAlignment="1">
      <alignment vertical="center"/>
    </xf>
    <xf numFmtId="0" fontId="33" fillId="23" borderId="5" xfId="0" applyFont="1" applyFill="1" applyBorder="1" applyAlignment="1">
      <alignment vertical="center"/>
    </xf>
    <xf numFmtId="0" fontId="30" fillId="8" borderId="6" xfId="0" applyFont="1" applyFill="1" applyBorder="1" applyAlignment="1">
      <alignment horizontal="center" vertical="center"/>
    </xf>
    <xf numFmtId="0" fontId="30" fillId="8" borderId="6" xfId="0" applyFont="1" applyFill="1" applyBorder="1" applyAlignment="1">
      <alignment horizontal="center" vertical="center" wrapText="1"/>
    </xf>
    <xf numFmtId="170" fontId="31" fillId="24" borderId="6" xfId="6" applyNumberFormat="1" applyFont="1" applyFill="1" applyBorder="1" applyAlignment="1">
      <alignment horizontal="center" vertical="center" wrapText="1"/>
    </xf>
    <xf numFmtId="170" fontId="33" fillId="23" borderId="6" xfId="6" applyNumberFormat="1" applyFont="1" applyFill="1" applyBorder="1" applyAlignment="1">
      <alignment horizontal="center" vertical="center"/>
    </xf>
    <xf numFmtId="170" fontId="32" fillId="0" borderId="6" xfId="6" applyNumberFormat="1" applyFont="1" applyFill="1" applyBorder="1" applyAlignment="1">
      <alignment horizontal="center" vertical="center"/>
    </xf>
    <xf numFmtId="170" fontId="32" fillId="23" borderId="6" xfId="6" applyNumberFormat="1" applyFont="1" applyFill="1" applyBorder="1" applyAlignment="1">
      <alignment horizontal="center" vertical="center"/>
    </xf>
    <xf numFmtId="170" fontId="31" fillId="35" borderId="5" xfId="6" applyNumberFormat="1" applyFont="1" applyFill="1" applyBorder="1" applyAlignment="1">
      <alignment horizontal="center" vertical="center"/>
    </xf>
    <xf numFmtId="0" fontId="114" fillId="9" borderId="0" xfId="3" applyFont="1" applyFill="1"/>
    <xf numFmtId="0" fontId="33" fillId="23" borderId="0" xfId="0" applyFont="1" applyFill="1" applyAlignment="1">
      <alignment wrapText="1"/>
    </xf>
    <xf numFmtId="0" fontId="16" fillId="23" borderId="0" xfId="0" applyFont="1" applyFill="1" applyAlignment="1">
      <alignment horizontal="center"/>
    </xf>
    <xf numFmtId="0" fontId="115" fillId="23" borderId="0" xfId="0" applyFont="1" applyFill="1" applyAlignment="1">
      <alignment horizontal="center"/>
    </xf>
    <xf numFmtId="0" fontId="24" fillId="23" borderId="0" xfId="0" applyFont="1" applyFill="1"/>
    <xf numFmtId="0" fontId="30" fillId="8" borderId="6" xfId="0" applyFont="1" applyFill="1" applyBorder="1" applyAlignment="1">
      <alignment horizontal="left" vertical="center"/>
    </xf>
    <xf numFmtId="170" fontId="5" fillId="0" borderId="0" xfId="0" applyNumberFormat="1" applyFont="1"/>
    <xf numFmtId="170" fontId="16" fillId="23" borderId="0" xfId="0" applyNumberFormat="1" applyFont="1" applyFill="1" applyAlignment="1">
      <alignment horizontal="center"/>
    </xf>
    <xf numFmtId="0" fontId="116" fillId="23" borderId="0" xfId="0" applyFont="1" applyFill="1"/>
    <xf numFmtId="8" fontId="5" fillId="0" borderId="0" xfId="0" applyNumberFormat="1" applyFont="1" applyAlignment="1">
      <alignment horizontal="center"/>
    </xf>
    <xf numFmtId="0" fontId="5" fillId="0" borderId="0" xfId="0" applyFont="1" applyAlignment="1">
      <alignment horizontal="center"/>
    </xf>
    <xf numFmtId="0" fontId="33" fillId="0" borderId="0" xfId="0" applyFont="1" applyAlignment="1">
      <alignment horizontal="left" vertical="center"/>
    </xf>
    <xf numFmtId="0" fontId="32" fillId="0" borderId="0" xfId="0" applyFont="1" applyAlignment="1">
      <alignment horizontal="center"/>
    </xf>
    <xf numFmtId="0" fontId="106" fillId="0" borderId="6" xfId="0" applyFont="1" applyBorder="1" applyAlignment="1">
      <alignment wrapText="1"/>
    </xf>
    <xf numFmtId="9" fontId="33" fillId="0" borderId="0" xfId="0" applyNumberFormat="1" applyFont="1" applyAlignment="1">
      <alignment horizontal="center" vertical="center" wrapText="1"/>
    </xf>
    <xf numFmtId="9" fontId="32" fillId="0" borderId="6" xfId="2" applyFont="1" applyFill="1" applyBorder="1" applyAlignment="1">
      <alignment horizontal="center" vertical="center"/>
    </xf>
    <xf numFmtId="0" fontId="32" fillId="10" borderId="0" xfId="0" applyFont="1" applyFill="1" applyAlignment="1">
      <alignment horizontal="left"/>
    </xf>
    <xf numFmtId="0" fontId="30" fillId="5" borderId="6" xfId="0" applyFont="1" applyFill="1" applyBorder="1" applyAlignment="1">
      <alignment horizontal="centerContinuous" vertical="center" wrapText="1"/>
    </xf>
    <xf numFmtId="0" fontId="32" fillId="0" borderId="0" xfId="0" applyFont="1" applyAlignment="1">
      <alignment horizontal="left" vertical="top"/>
    </xf>
    <xf numFmtId="0" fontId="30" fillId="37" borderId="6" xfId="0" applyFont="1" applyFill="1" applyBorder="1" applyAlignment="1">
      <alignment horizontal="center" vertical="center" wrapText="1"/>
    </xf>
    <xf numFmtId="0" fontId="30" fillId="37" borderId="1" xfId="0" applyFont="1" applyFill="1" applyBorder="1" applyAlignment="1">
      <alignment horizontal="center" vertical="center" wrapText="1"/>
    </xf>
    <xf numFmtId="3" fontId="33" fillId="12" borderId="6" xfId="0" applyNumberFormat="1" applyFont="1" applyFill="1" applyBorder="1" applyAlignment="1">
      <alignment horizontal="center" vertical="center" wrapText="1"/>
    </xf>
    <xf numFmtId="0" fontId="33" fillId="12" borderId="6" xfId="0" applyFont="1" applyFill="1" applyBorder="1" applyAlignment="1">
      <alignment horizontal="center" vertical="center" wrapText="1"/>
    </xf>
    <xf numFmtId="3" fontId="33" fillId="12" borderId="5" xfId="0" applyNumberFormat="1" applyFont="1" applyFill="1" applyBorder="1" applyAlignment="1">
      <alignment horizontal="center" vertical="center" wrapText="1"/>
    </xf>
    <xf numFmtId="165" fontId="28" fillId="10" borderId="0" xfId="2" applyNumberFormat="1" applyFont="1" applyFill="1"/>
    <xf numFmtId="9" fontId="32" fillId="0" borderId="5" xfId="2" applyFont="1" applyFill="1" applyBorder="1" applyAlignment="1">
      <alignment horizontal="center" vertical="center" wrapText="1"/>
    </xf>
    <xf numFmtId="9" fontId="32" fillId="0" borderId="6" xfId="2" applyFont="1" applyFill="1" applyBorder="1" applyAlignment="1">
      <alignment horizontal="center" vertical="center" wrapText="1"/>
    </xf>
    <xf numFmtId="3" fontId="36" fillId="10" borderId="0" xfId="0" applyNumberFormat="1" applyFont="1" applyFill="1" applyAlignment="1">
      <alignment vertical="center"/>
    </xf>
    <xf numFmtId="3" fontId="32" fillId="10" borderId="0" xfId="0" applyNumberFormat="1" applyFont="1" applyFill="1" applyAlignment="1">
      <alignment vertical="center"/>
    </xf>
    <xf numFmtId="3" fontId="43" fillId="10" borderId="0" xfId="0" applyNumberFormat="1" applyFont="1" applyFill="1" applyAlignment="1">
      <alignment vertical="center"/>
    </xf>
    <xf numFmtId="10" fontId="31" fillId="4" borderId="6" xfId="2" applyNumberFormat="1" applyFont="1" applyFill="1" applyBorder="1" applyAlignment="1">
      <alignment horizontal="center" vertical="center" wrapText="1"/>
    </xf>
    <xf numFmtId="0" fontId="36" fillId="19" borderId="0" xfId="0" applyFont="1" applyFill="1" applyAlignment="1">
      <alignment vertical="center" wrapText="1"/>
    </xf>
    <xf numFmtId="2" fontId="28" fillId="10" borderId="0" xfId="0" applyNumberFormat="1" applyFont="1" applyFill="1"/>
    <xf numFmtId="0" fontId="117" fillId="10" borderId="0" xfId="0" applyFont="1" applyFill="1" applyAlignment="1">
      <alignment vertical="center"/>
    </xf>
    <xf numFmtId="3" fontId="61" fillId="10" borderId="0" xfId="0" applyNumberFormat="1" applyFont="1" applyFill="1" applyAlignment="1">
      <alignment vertical="center" wrapText="1"/>
    </xf>
    <xf numFmtId="0" fontId="31" fillId="4" borderId="0" xfId="0" applyFont="1" applyFill="1" applyAlignment="1">
      <alignment vertical="center" wrapText="1"/>
    </xf>
    <xf numFmtId="0" fontId="61" fillId="10" borderId="0" xfId="0" applyFont="1" applyFill="1" applyAlignment="1">
      <alignment vertical="center" wrapText="1"/>
    </xf>
    <xf numFmtId="49" fontId="32" fillId="10" borderId="2" xfId="0" applyNumberFormat="1" applyFont="1" applyFill="1" applyBorder="1" applyAlignment="1">
      <alignment horizontal="center" vertical="center"/>
    </xf>
    <xf numFmtId="167" fontId="32" fillId="10" borderId="0" xfId="2" applyNumberFormat="1" applyFont="1" applyFill="1" applyAlignment="1">
      <alignment vertical="center"/>
    </xf>
    <xf numFmtId="0" fontId="5" fillId="30" borderId="0" xfId="0" applyFont="1" applyFill="1"/>
    <xf numFmtId="4" fontId="66" fillId="10" borderId="0" xfId="3" applyNumberFormat="1" applyFont="1" applyFill="1" applyAlignment="1">
      <alignment horizontal="center" vertical="center"/>
    </xf>
    <xf numFmtId="9" fontId="0" fillId="0" borderId="0" xfId="2" applyFont="1" applyAlignment="1">
      <alignment horizontal="center"/>
    </xf>
    <xf numFmtId="3" fontId="32" fillId="0" borderId="5" xfId="0" applyNumberFormat="1" applyFont="1" applyBorder="1" applyAlignment="1">
      <alignment horizontal="center" vertical="center" wrapText="1"/>
    </xf>
    <xf numFmtId="0" fontId="32" fillId="0" borderId="5" xfId="0" applyFont="1" applyBorder="1" applyAlignment="1">
      <alignment horizontal="center" vertical="center" wrapText="1"/>
    </xf>
    <xf numFmtId="3" fontId="32" fillId="0" borderId="6" xfId="3" applyNumberFormat="1" applyFont="1" applyFill="1" applyBorder="1" applyAlignment="1">
      <alignment horizontal="center" vertical="center" wrapText="1"/>
    </xf>
    <xf numFmtId="169" fontId="36" fillId="4" borderId="6" xfId="3" applyNumberFormat="1" applyFont="1" applyFill="1" applyBorder="1" applyAlignment="1">
      <alignment horizontal="center" vertical="center" wrapText="1"/>
    </xf>
    <xf numFmtId="169" fontId="31" fillId="4" borderId="6" xfId="0" applyNumberFormat="1" applyFont="1" applyFill="1" applyBorder="1" applyAlignment="1">
      <alignment horizontal="center" vertical="center" wrapText="1"/>
    </xf>
    <xf numFmtId="3" fontId="33" fillId="23" borderId="6" xfId="0" applyNumberFormat="1" applyFont="1" applyFill="1" applyBorder="1" applyAlignment="1">
      <alignment horizontal="center" vertical="center"/>
    </xf>
    <xf numFmtId="0" fontId="31" fillId="7" borderId="6" xfId="0" applyFont="1" applyFill="1" applyBorder="1" applyAlignment="1">
      <alignment horizontal="center" vertical="center" wrapText="1"/>
    </xf>
    <xf numFmtId="168" fontId="33" fillId="23" borderId="6" xfId="0" applyNumberFormat="1" applyFont="1" applyFill="1" applyBorder="1" applyAlignment="1">
      <alignment horizontal="center" vertical="center"/>
    </xf>
    <xf numFmtId="0" fontId="33" fillId="26" borderId="6" xfId="0" applyFont="1" applyFill="1" applyBorder="1" applyAlignment="1">
      <alignment horizontal="center" vertical="center" wrapText="1"/>
    </xf>
    <xf numFmtId="6" fontId="33" fillId="23" borderId="6" xfId="0" applyNumberFormat="1" applyFont="1" applyFill="1" applyBorder="1" applyAlignment="1">
      <alignment horizontal="center" vertical="center" wrapText="1"/>
    </xf>
    <xf numFmtId="0" fontId="26" fillId="0" borderId="2" xfId="0" applyFont="1" applyBorder="1" applyAlignment="1">
      <alignment horizontal="left" vertical="center" wrapText="1"/>
    </xf>
    <xf numFmtId="0" fontId="21" fillId="0" borderId="1" xfId="0" applyFont="1" applyBorder="1" applyAlignment="1">
      <alignment horizontal="center" vertical="center"/>
    </xf>
    <xf numFmtId="0" fontId="32" fillId="0" borderId="0" xfId="0" applyFont="1" applyAlignment="1">
      <alignment horizontal="left" vertical="center" wrapText="1"/>
    </xf>
    <xf numFmtId="0" fontId="26" fillId="0" borderId="0" xfId="0" applyFont="1" applyAlignment="1">
      <alignment vertical="center"/>
    </xf>
    <xf numFmtId="1" fontId="33" fillId="23" borderId="6" xfId="0" applyNumberFormat="1" applyFont="1" applyFill="1" applyBorder="1" applyAlignment="1">
      <alignment vertical="center"/>
    </xf>
    <xf numFmtId="169" fontId="31" fillId="7" borderId="6" xfId="1" applyNumberFormat="1" applyFont="1" applyFill="1" applyBorder="1" applyAlignment="1">
      <alignment vertical="center" wrapText="1"/>
    </xf>
    <xf numFmtId="169" fontId="31" fillId="7" borderId="6" xfId="1" applyNumberFormat="1" applyFont="1" applyFill="1" applyBorder="1" applyAlignment="1">
      <alignment vertical="center"/>
    </xf>
    <xf numFmtId="169" fontId="31" fillId="7" borderId="6" xfId="1" applyNumberFormat="1" applyFont="1" applyFill="1" applyBorder="1" applyAlignment="1">
      <alignment horizontal="right" vertical="center" wrapText="1"/>
    </xf>
    <xf numFmtId="0" fontId="15" fillId="30" borderId="0" xfId="3" applyFont="1" applyFill="1" applyAlignment="1">
      <alignment vertical="center"/>
    </xf>
    <xf numFmtId="165" fontId="32" fillId="10" borderId="5" xfId="0" applyNumberFormat="1" applyFont="1" applyFill="1" applyBorder="1" applyAlignment="1">
      <alignment horizontal="center" wrapText="1"/>
    </xf>
    <xf numFmtId="165" fontId="32" fillId="10" borderId="6" xfId="0" applyNumberFormat="1" applyFont="1" applyFill="1" applyBorder="1" applyAlignment="1">
      <alignment horizontal="center" wrapText="1"/>
    </xf>
    <xf numFmtId="0" fontId="26" fillId="0" borderId="0" xfId="0" applyFont="1" applyAlignment="1">
      <alignment horizontal="right" wrapText="1"/>
    </xf>
    <xf numFmtId="0" fontId="20" fillId="10" borderId="0" xfId="0" applyFont="1" applyFill="1" applyAlignment="1">
      <alignment horizontal="center"/>
    </xf>
    <xf numFmtId="9" fontId="33" fillId="10" borderId="0" xfId="2" applyFont="1" applyFill="1" applyBorder="1" applyAlignment="1">
      <alignment horizontal="center" vertical="center" wrapText="1"/>
    </xf>
    <xf numFmtId="9" fontId="61" fillId="10" borderId="0" xfId="2" applyFont="1" applyFill="1" applyBorder="1" applyAlignment="1">
      <alignment horizontal="center" vertical="center" wrapText="1"/>
    </xf>
    <xf numFmtId="0" fontId="30" fillId="10" borderId="6" xfId="0" applyFont="1" applyFill="1" applyBorder="1" applyAlignment="1">
      <alignment horizontal="center" vertical="center" wrapText="1"/>
    </xf>
    <xf numFmtId="0" fontId="73" fillId="14" borderId="6" xfId="0" applyFont="1" applyFill="1" applyBorder="1" applyAlignment="1">
      <alignment horizontal="center" vertical="center" wrapText="1"/>
    </xf>
    <xf numFmtId="3" fontId="31" fillId="10" borderId="6" xfId="0" applyNumberFormat="1" applyFont="1" applyFill="1" applyBorder="1" applyAlignment="1">
      <alignment horizontal="center" vertical="center" wrapText="1"/>
    </xf>
    <xf numFmtId="0" fontId="0" fillId="10" borderId="0" xfId="0" applyFill="1" applyAlignment="1">
      <alignment horizontal="left"/>
    </xf>
    <xf numFmtId="0" fontId="128" fillId="10" borderId="0" xfId="0" applyFont="1" applyFill="1" applyAlignment="1">
      <alignment vertical="center"/>
    </xf>
    <xf numFmtId="0" fontId="8" fillId="0" borderId="0" xfId="0" applyFont="1" applyAlignment="1">
      <alignment horizontal="left" vertical="center" wrapText="1"/>
    </xf>
    <xf numFmtId="0" fontId="8" fillId="3" borderId="0" xfId="0" applyFont="1" applyFill="1" applyAlignment="1">
      <alignment horizontal="left" vertical="center" wrapText="1"/>
    </xf>
    <xf numFmtId="0" fontId="5" fillId="0" borderId="0" xfId="0" applyFont="1" applyAlignment="1">
      <alignment horizontal="left" vertical="center" wrapText="1"/>
    </xf>
    <xf numFmtId="0" fontId="40" fillId="10" borderId="11" xfId="0" applyFont="1" applyFill="1" applyBorder="1" applyAlignment="1">
      <alignment horizontal="left" vertical="center"/>
    </xf>
    <xf numFmtId="0" fontId="40" fillId="10" borderId="0" xfId="0" applyFont="1" applyFill="1" applyAlignment="1">
      <alignment horizontal="left" vertical="center"/>
    </xf>
    <xf numFmtId="0" fontId="28" fillId="10" borderId="0" xfId="0" applyFont="1" applyFill="1" applyAlignment="1">
      <alignment horizontal="left" vertical="top" wrapText="1"/>
    </xf>
    <xf numFmtId="0" fontId="31" fillId="10" borderId="10" xfId="0" applyFont="1" applyFill="1" applyBorder="1" applyAlignment="1">
      <alignment horizontal="center" vertical="center" wrapText="1"/>
    </xf>
    <xf numFmtId="0" fontId="31" fillId="10" borderId="0" xfId="0" applyFont="1" applyFill="1" applyAlignment="1">
      <alignment horizontal="center" vertical="center" wrapText="1"/>
    </xf>
    <xf numFmtId="0" fontId="28" fillId="0" borderId="0" xfId="0" applyFont="1" applyAlignment="1">
      <alignment horizontal="left" vertical="top" wrapText="1"/>
    </xf>
    <xf numFmtId="0" fontId="8" fillId="0" borderId="0" xfId="0" applyFont="1" applyAlignment="1">
      <alignment horizontal="left" wrapText="1"/>
    </xf>
    <xf numFmtId="0" fontId="30" fillId="5" borderId="6" xfId="0" applyFont="1" applyFill="1" applyBorder="1" applyAlignment="1">
      <alignment horizontal="left" vertical="center" wrapText="1"/>
    </xf>
    <xf numFmtId="0" fontId="33" fillId="0" borderId="5" xfId="0" applyFont="1" applyBorder="1" applyAlignment="1">
      <alignment horizontal="left" vertical="center" wrapText="1"/>
    </xf>
    <xf numFmtId="9" fontId="33" fillId="14" borderId="8" xfId="0" applyNumberFormat="1" applyFont="1" applyFill="1" applyBorder="1" applyAlignment="1">
      <alignment horizontal="center" vertical="center" wrapText="1"/>
    </xf>
    <xf numFmtId="9" fontId="33" fillId="0" borderId="8" xfId="0" applyNumberFormat="1" applyFont="1" applyBorder="1" applyAlignment="1">
      <alignment horizontal="center" vertical="center" wrapText="1"/>
    </xf>
    <xf numFmtId="9" fontId="33" fillId="0" borderId="5" xfId="0" applyNumberFormat="1" applyFont="1" applyBorder="1" applyAlignment="1">
      <alignment horizontal="center" vertical="center" wrapText="1"/>
    </xf>
    <xf numFmtId="0" fontId="28" fillId="10" borderId="5" xfId="0" quotePrefix="1" applyFont="1" applyFill="1" applyBorder="1" applyAlignment="1">
      <alignment horizontal="left" vertical="top" wrapText="1"/>
    </xf>
    <xf numFmtId="0" fontId="28" fillId="10" borderId="6" xfId="0" quotePrefix="1" applyFont="1" applyFill="1" applyBorder="1" applyAlignment="1">
      <alignment horizontal="left" vertical="top" wrapText="1"/>
    </xf>
    <xf numFmtId="0" fontId="46" fillId="10" borderId="6" xfId="0" applyFont="1" applyFill="1" applyBorder="1" applyAlignment="1">
      <alignment horizontal="left" vertical="center" wrapText="1" indent="1"/>
    </xf>
    <xf numFmtId="9" fontId="33" fillId="14" borderId="1" xfId="0" applyNumberFormat="1" applyFont="1" applyFill="1" applyBorder="1" applyAlignment="1">
      <alignment horizontal="center" vertical="center" wrapText="1"/>
    </xf>
    <xf numFmtId="9" fontId="33" fillId="10" borderId="1" xfId="0" applyNumberFormat="1" applyFont="1" applyFill="1" applyBorder="1" applyAlignment="1">
      <alignment horizontal="center" vertical="center" wrapText="1"/>
    </xf>
    <xf numFmtId="9" fontId="33" fillId="0" borderId="1" xfId="0" applyNumberFormat="1" applyFont="1" applyBorder="1" applyAlignment="1">
      <alignment horizontal="center" vertical="center" wrapText="1"/>
    </xf>
    <xf numFmtId="9" fontId="33" fillId="0" borderId="6" xfId="0" applyNumberFormat="1" applyFont="1" applyBorder="1" applyAlignment="1">
      <alignment horizontal="center" vertical="center" wrapText="1"/>
    </xf>
    <xf numFmtId="0" fontId="33" fillId="0" borderId="1" xfId="0" applyFont="1" applyBorder="1" applyAlignment="1">
      <alignment horizontal="left" vertical="center" wrapText="1"/>
    </xf>
    <xf numFmtId="0" fontId="32" fillId="0" borderId="1" xfId="0" applyFont="1" applyBorder="1" applyAlignment="1">
      <alignment horizontal="left" vertical="center" wrapText="1"/>
    </xf>
    <xf numFmtId="9" fontId="32" fillId="14" borderId="1" xfId="0" applyNumberFormat="1" applyFont="1" applyFill="1" applyBorder="1" applyAlignment="1">
      <alignment horizontal="center" vertical="center" wrapText="1"/>
    </xf>
    <xf numFmtId="0" fontId="33" fillId="14" borderId="1" xfId="0" applyFont="1" applyFill="1" applyBorder="1" applyAlignment="1">
      <alignment horizontal="center" vertical="center" wrapText="1"/>
    </xf>
    <xf numFmtId="0" fontId="33" fillId="0" borderId="6" xfId="0" applyFont="1" applyBorder="1" applyAlignment="1">
      <alignment horizontal="left" vertical="center" wrapText="1"/>
    </xf>
    <xf numFmtId="0" fontId="31" fillId="4" borderId="6" xfId="0" applyFont="1" applyFill="1" applyBorder="1" applyAlignment="1">
      <alignment horizontal="left" vertical="center" wrapText="1"/>
    </xf>
    <xf numFmtId="9" fontId="32" fillId="10" borderId="1" xfId="0" applyNumberFormat="1" applyFont="1" applyFill="1" applyBorder="1" applyAlignment="1">
      <alignment horizontal="center" vertical="center" wrapText="1"/>
    </xf>
    <xf numFmtId="0" fontId="33" fillId="10" borderId="6" xfId="0" applyFont="1" applyFill="1" applyBorder="1" applyAlignment="1">
      <alignment horizontal="left" vertical="center"/>
    </xf>
    <xf numFmtId="0" fontId="28" fillId="10" borderId="6" xfId="0" applyFont="1" applyFill="1" applyBorder="1" applyAlignment="1">
      <alignment horizontal="left" vertical="center"/>
    </xf>
    <xf numFmtId="0" fontId="33" fillId="10" borderId="6" xfId="0" applyFont="1" applyFill="1" applyBorder="1" applyAlignment="1">
      <alignment horizontal="left" vertical="center" wrapText="1"/>
    </xf>
    <xf numFmtId="0" fontId="28" fillId="10" borderId="6" xfId="0" applyFont="1" applyFill="1" applyBorder="1" applyAlignment="1">
      <alignment horizontal="left" vertical="center" wrapText="1"/>
    </xf>
    <xf numFmtId="0" fontId="28" fillId="10" borderId="1" xfId="0" applyFont="1" applyFill="1" applyBorder="1" applyAlignment="1">
      <alignment horizontal="left" vertical="center"/>
    </xf>
    <xf numFmtId="0" fontId="32" fillId="10" borderId="0" xfId="0" applyFont="1" applyFill="1" applyAlignment="1">
      <alignment horizontal="left" vertical="top" wrapText="1"/>
    </xf>
    <xf numFmtId="9" fontId="33" fillId="14" borderId="6" xfId="0" applyNumberFormat="1" applyFont="1" applyFill="1" applyBorder="1" applyAlignment="1">
      <alignment horizontal="center" vertical="center" wrapText="1"/>
    </xf>
    <xf numFmtId="0" fontId="32" fillId="0" borderId="0" xfId="0" applyFont="1" applyAlignment="1">
      <alignment horizontal="left" vertical="center" wrapText="1"/>
    </xf>
    <xf numFmtId="0" fontId="28" fillId="10" borderId="0" xfId="0" applyFont="1" applyFill="1" applyAlignment="1">
      <alignment horizontal="left" vertical="center" wrapText="1"/>
    </xf>
    <xf numFmtId="0" fontId="30" fillId="5" borderId="2"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2" fillId="9" borderId="0" xfId="0" applyFont="1" applyFill="1" applyAlignment="1">
      <alignment horizontal="left" vertical="top" wrapText="1"/>
    </xf>
    <xf numFmtId="0" fontId="30" fillId="31" borderId="3" xfId="0" applyFont="1" applyFill="1" applyBorder="1" applyAlignment="1">
      <alignment horizontal="center" vertical="center" wrapText="1"/>
    </xf>
    <xf numFmtId="0" fontId="30" fillId="31" borderId="4"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28" fillId="0" borderId="0" xfId="0" applyFont="1" applyAlignment="1">
      <alignment horizontal="left" vertical="center" wrapText="1"/>
    </xf>
    <xf numFmtId="0" fontId="30" fillId="5" borderId="6" xfId="0" applyFont="1" applyFill="1" applyBorder="1" applyAlignment="1">
      <alignment horizontal="center" vertical="center" wrapText="1"/>
    </xf>
    <xf numFmtId="0" fontId="33" fillId="0" borderId="6" xfId="0" applyFont="1" applyBorder="1" applyAlignment="1">
      <alignment horizontal="center" vertical="center" wrapText="1"/>
    </xf>
    <xf numFmtId="0" fontId="25" fillId="10" borderId="2" xfId="0" applyFont="1" applyFill="1" applyBorder="1" applyAlignment="1">
      <alignment horizontal="left" vertical="center" wrapText="1"/>
    </xf>
    <xf numFmtId="0" fontId="25" fillId="10" borderId="3" xfId="0" applyFont="1" applyFill="1" applyBorder="1" applyAlignment="1">
      <alignment horizontal="left" vertical="center" wrapText="1"/>
    </xf>
    <xf numFmtId="0" fontId="25" fillId="10" borderId="4" xfId="0" applyFont="1" applyFill="1" applyBorder="1" applyAlignment="1">
      <alignment horizontal="left" vertical="center" wrapText="1"/>
    </xf>
    <xf numFmtId="0" fontId="24" fillId="0" borderId="2" xfId="0" applyFont="1" applyBorder="1" applyAlignment="1">
      <alignment horizontal="left" vertical="center" wrapText="1"/>
    </xf>
    <xf numFmtId="0" fontId="24" fillId="0" borderId="4" xfId="0" applyFont="1" applyBorder="1" applyAlignment="1">
      <alignment horizontal="left" vertical="center" wrapText="1"/>
    </xf>
    <xf numFmtId="0" fontId="24" fillId="10" borderId="11" xfId="0" applyFont="1" applyFill="1" applyBorder="1" applyAlignment="1">
      <alignment horizontal="center" vertical="center" wrapText="1"/>
    </xf>
    <xf numFmtId="0" fontId="24" fillId="10" borderId="0" xfId="0" applyFont="1" applyFill="1" applyAlignment="1">
      <alignment horizontal="center" vertical="center" wrapText="1"/>
    </xf>
    <xf numFmtId="0" fontId="19" fillId="0" borderId="0" xfId="0" applyFont="1" applyAlignment="1">
      <alignment horizontal="center" vertical="center"/>
    </xf>
    <xf numFmtId="0" fontId="19" fillId="0" borderId="10" xfId="0" applyFont="1" applyBorder="1" applyAlignment="1">
      <alignment horizontal="center" vertical="center"/>
    </xf>
    <xf numFmtId="0" fontId="24" fillId="17" borderId="1" xfId="0" applyFont="1" applyFill="1" applyBorder="1" applyAlignment="1">
      <alignment vertical="center" wrapText="1"/>
    </xf>
    <xf numFmtId="0" fontId="24" fillId="17" borderId="8" xfId="0" applyFont="1" applyFill="1" applyBorder="1" applyAlignment="1">
      <alignment vertical="center" wrapText="1"/>
    </xf>
    <xf numFmtId="0" fontId="24" fillId="17" borderId="5" xfId="0" applyFont="1" applyFill="1" applyBorder="1" applyAlignment="1">
      <alignment vertical="center" wrapText="1"/>
    </xf>
    <xf numFmtId="0" fontId="24" fillId="10" borderId="1" xfId="0" applyFont="1" applyFill="1" applyBorder="1" applyAlignment="1">
      <alignment horizontal="left" vertical="center" wrapText="1"/>
    </xf>
    <xf numFmtId="0" fontId="24" fillId="10" borderId="8" xfId="0" applyFont="1" applyFill="1" applyBorder="1" applyAlignment="1">
      <alignment horizontal="left" vertical="center" wrapText="1"/>
    </xf>
    <xf numFmtId="0" fontId="24" fillId="10" borderId="5" xfId="0" applyFont="1" applyFill="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125" fillId="0" borderId="2" xfId="0" applyFont="1" applyBorder="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4" fillId="0" borderId="6" xfId="0" applyFont="1" applyBorder="1" applyAlignment="1">
      <alignment horizontal="left" vertical="center" wrapText="1"/>
    </xf>
    <xf numFmtId="0" fontId="24" fillId="10" borderId="2" xfId="0" applyFont="1" applyFill="1" applyBorder="1" applyAlignment="1">
      <alignment horizontal="left" vertical="center" wrapText="1"/>
    </xf>
    <xf numFmtId="0" fontId="24" fillId="10" borderId="4" xfId="0" applyFont="1" applyFill="1" applyBorder="1" applyAlignment="1">
      <alignment horizontal="left" vertical="center" wrapText="1"/>
    </xf>
    <xf numFmtId="0" fontId="24" fillId="0" borderId="1" xfId="0" applyFont="1" applyBorder="1" applyAlignment="1">
      <alignment horizontal="left" vertical="center" wrapText="1"/>
    </xf>
    <xf numFmtId="0" fontId="24" fillId="0" borderId="8" xfId="0" applyFont="1" applyBorder="1" applyAlignment="1">
      <alignment horizontal="left" vertical="center" wrapText="1"/>
    </xf>
    <xf numFmtId="0" fontId="24" fillId="0" borderId="5" xfId="0" applyFont="1" applyBorder="1" applyAlignment="1">
      <alignment horizontal="left" vertical="center" wrapText="1"/>
    </xf>
    <xf numFmtId="0" fontId="25" fillId="16" borderId="1" xfId="0" applyFont="1" applyFill="1" applyBorder="1" applyAlignment="1">
      <alignment vertical="center" wrapText="1"/>
    </xf>
    <xf numFmtId="0" fontId="25" fillId="16" borderId="5" xfId="0" applyFont="1" applyFill="1" applyBorder="1" applyAlignment="1">
      <alignment vertical="center" wrapText="1"/>
    </xf>
    <xf numFmtId="0" fontId="24" fillId="17" borderId="1" xfId="0" applyFont="1" applyFill="1" applyBorder="1" applyAlignment="1">
      <alignment horizontal="left" vertical="center" wrapText="1"/>
    </xf>
    <xf numFmtId="0" fontId="24" fillId="17" borderId="8" xfId="0" applyFont="1" applyFill="1" applyBorder="1" applyAlignment="1">
      <alignment horizontal="left" vertical="center" wrapText="1"/>
    </xf>
    <xf numFmtId="0" fontId="24" fillId="17" borderId="5" xfId="0" applyFont="1" applyFill="1" applyBorder="1" applyAlignment="1">
      <alignment horizontal="left" vertical="center" wrapText="1"/>
    </xf>
    <xf numFmtId="0" fontId="14" fillId="0" borderId="0" xfId="0" applyFont="1" applyAlignment="1">
      <alignment horizontal="left" vertical="center" wrapText="1"/>
    </xf>
    <xf numFmtId="0" fontId="15" fillId="15" borderId="2" xfId="0" applyFont="1" applyFill="1" applyBorder="1" applyAlignment="1">
      <alignment horizontal="left" vertical="center" wrapText="1"/>
    </xf>
    <xf numFmtId="0" fontId="15" fillId="15" borderId="4" xfId="0" applyFont="1" applyFill="1" applyBorder="1" applyAlignment="1">
      <alignment horizontal="left" vertical="center" wrapText="1"/>
    </xf>
    <xf numFmtId="0" fontId="25" fillId="0" borderId="2" xfId="0" applyFont="1" applyBorder="1" applyAlignment="1">
      <alignment horizontal="left" vertical="top" wrapText="1"/>
    </xf>
    <xf numFmtId="0" fontId="25" fillId="0" borderId="4" xfId="0" applyFont="1" applyBorder="1" applyAlignment="1">
      <alignment horizontal="left" vertical="top" wrapText="1"/>
    </xf>
    <xf numFmtId="0" fontId="24" fillId="0" borderId="1" xfId="0" applyFont="1" applyBorder="1" applyAlignment="1">
      <alignment horizontal="left" vertical="top" wrapText="1"/>
    </xf>
    <xf numFmtId="0" fontId="24" fillId="0" borderId="5" xfId="0" applyFont="1" applyBorder="1" applyAlignment="1">
      <alignment horizontal="left" vertical="top" wrapText="1"/>
    </xf>
    <xf numFmtId="0" fontId="15" fillId="5" borderId="13"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32" fillId="10" borderId="0" xfId="0" applyFont="1" applyFill="1" applyAlignment="1">
      <alignment horizontal="left" vertical="center" wrapText="1"/>
    </xf>
    <xf numFmtId="0" fontId="32" fillId="10" borderId="0" xfId="0" applyFont="1" applyFill="1" applyAlignment="1">
      <alignment horizontal="left" vertical="top"/>
    </xf>
    <xf numFmtId="0" fontId="32" fillId="0" borderId="0" xfId="0" applyFont="1" applyAlignment="1">
      <alignment horizontal="left" vertical="top" wrapText="1"/>
    </xf>
    <xf numFmtId="0" fontId="32" fillId="10" borderId="0" xfId="0" applyFont="1" applyFill="1" applyAlignment="1">
      <alignment vertical="center" wrapText="1"/>
    </xf>
    <xf numFmtId="0" fontId="31" fillId="11" borderId="6" xfId="0" applyFont="1" applyFill="1" applyBorder="1" applyAlignment="1">
      <alignment horizontal="left" vertical="center" wrapText="1"/>
    </xf>
    <xf numFmtId="0" fontId="28" fillId="10" borderId="0" xfId="0" applyFont="1" applyFill="1"/>
    <xf numFmtId="0" fontId="33" fillId="10" borderId="0" xfId="0" applyFont="1" applyFill="1" applyAlignment="1">
      <alignment horizontal="left" vertical="center" wrapText="1"/>
    </xf>
    <xf numFmtId="0" fontId="33" fillId="10" borderId="0" xfId="0" applyFont="1" applyFill="1" applyAlignment="1">
      <alignment horizontal="left" vertical="top" wrapText="1"/>
    </xf>
    <xf numFmtId="0" fontId="33" fillId="10" borderId="0" xfId="0" applyFont="1" applyFill="1" applyAlignment="1">
      <alignment horizontal="left" vertical="top"/>
    </xf>
    <xf numFmtId="0" fontId="33" fillId="10" borderId="0" xfId="0" applyFont="1" applyFill="1" applyAlignment="1">
      <alignment vertical="center" wrapText="1"/>
    </xf>
    <xf numFmtId="0" fontId="33" fillId="10" borderId="0" xfId="0" applyFont="1" applyFill="1" applyAlignment="1">
      <alignment vertical="center"/>
    </xf>
    <xf numFmtId="0" fontId="33" fillId="0" borderId="0" xfId="0" applyFont="1" applyAlignment="1">
      <alignment horizontal="left" vertical="center" wrapText="1"/>
    </xf>
    <xf numFmtId="0" fontId="29" fillId="0" borderId="0" xfId="0" applyFont="1" applyAlignment="1">
      <alignment horizontal="left" vertical="top"/>
    </xf>
    <xf numFmtId="0" fontId="32" fillId="10" borderId="0" xfId="0" applyFont="1" applyFill="1" applyAlignment="1">
      <alignment vertical="center"/>
    </xf>
    <xf numFmtId="0" fontId="33" fillId="0" borderId="0" xfId="0" applyFont="1" applyAlignment="1">
      <alignment horizontal="left" vertical="top" wrapText="1"/>
    </xf>
    <xf numFmtId="0" fontId="34" fillId="10" borderId="0" xfId="0" applyFont="1" applyFill="1" applyAlignment="1">
      <alignment horizontal="center" wrapText="1"/>
    </xf>
    <xf numFmtId="0" fontId="96" fillId="10" borderId="0" xfId="0" applyFont="1" applyFill="1" applyAlignment="1">
      <alignment horizontal="left" vertical="center"/>
    </xf>
    <xf numFmtId="0" fontId="30" fillId="15" borderId="6" xfId="0" applyFont="1" applyFill="1" applyBorder="1" applyAlignment="1">
      <alignment horizontal="left" vertical="center" wrapText="1"/>
    </xf>
    <xf numFmtId="0" fontId="47" fillId="10" borderId="10" xfId="0" applyFont="1" applyFill="1" applyBorder="1" applyAlignment="1">
      <alignment horizontal="center" vertical="center"/>
    </xf>
    <xf numFmtId="0" fontId="32" fillId="10" borderId="1" xfId="0" applyFont="1" applyFill="1" applyBorder="1" applyAlignment="1">
      <alignment horizontal="left" vertical="center" wrapText="1"/>
    </xf>
    <xf numFmtId="0" fontId="32" fillId="10" borderId="5" xfId="0" applyFont="1" applyFill="1" applyBorder="1" applyAlignment="1">
      <alignment horizontal="left" vertical="center" wrapText="1"/>
    </xf>
    <xf numFmtId="1" fontId="28" fillId="0" borderId="1" xfId="0" applyNumberFormat="1" applyFont="1" applyBorder="1" applyAlignment="1">
      <alignment horizontal="center" vertical="center"/>
    </xf>
    <xf numFmtId="1" fontId="28" fillId="0" borderId="8" xfId="0" applyNumberFormat="1" applyFont="1" applyBorder="1" applyAlignment="1">
      <alignment horizontal="center" vertical="center"/>
    </xf>
    <xf numFmtId="1" fontId="28" fillId="0" borderId="5"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32" fillId="0" borderId="5" xfId="0" applyFont="1" applyBorder="1" applyAlignment="1">
      <alignment horizontal="center" vertical="center"/>
    </xf>
    <xf numFmtId="0" fontId="32" fillId="10" borderId="6" xfId="0" applyFont="1" applyFill="1" applyBorder="1" applyAlignment="1">
      <alignment horizontal="center" vertical="center"/>
    </xf>
    <xf numFmtId="0" fontId="28" fillId="10" borderId="1" xfId="0" applyFont="1" applyFill="1" applyBorder="1" applyAlignment="1">
      <alignment horizontal="center" vertical="center"/>
    </xf>
    <xf numFmtId="0" fontId="28" fillId="10" borderId="8"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8" xfId="0" applyFont="1" applyFill="1" applyBorder="1" applyAlignment="1">
      <alignment horizontal="left" vertical="center"/>
    </xf>
    <xf numFmtId="0" fontId="28" fillId="10" borderId="5" xfId="0" applyFont="1" applyFill="1" applyBorder="1" applyAlignment="1">
      <alignment horizontal="left" vertical="center"/>
    </xf>
    <xf numFmtId="0" fontId="43" fillId="0" borderId="0" xfId="0" applyFont="1" applyAlignment="1">
      <alignment horizontal="center" vertical="center" wrapText="1"/>
    </xf>
    <xf numFmtId="0" fontId="28" fillId="0" borderId="2" xfId="0" applyFont="1" applyBorder="1"/>
    <xf numFmtId="0" fontId="28" fillId="10" borderId="2" xfId="0" applyFont="1" applyFill="1" applyBorder="1"/>
    <xf numFmtId="0" fontId="28" fillId="10" borderId="2" xfId="0" applyFont="1" applyFill="1" applyBorder="1" applyAlignment="1">
      <alignment vertical="center" wrapText="1"/>
    </xf>
    <xf numFmtId="0" fontId="25" fillId="0" borderId="0" xfId="0" applyFont="1" applyAlignment="1">
      <alignment horizontal="left" wrapText="1"/>
    </xf>
    <xf numFmtId="0" fontId="25" fillId="17" borderId="1" xfId="0" applyFont="1" applyFill="1" applyBorder="1" applyAlignment="1">
      <alignment horizontal="left" vertical="center" wrapText="1"/>
    </xf>
    <xf numFmtId="0" fontId="25" fillId="17" borderId="5" xfId="0" applyFont="1" applyFill="1" applyBorder="1" applyAlignment="1">
      <alignment horizontal="left" vertical="center" wrapText="1"/>
    </xf>
    <xf numFmtId="0" fontId="25" fillId="17" borderId="8" xfId="0" applyFont="1" applyFill="1" applyBorder="1" applyAlignment="1">
      <alignment horizontal="left" vertical="center" wrapText="1"/>
    </xf>
    <xf numFmtId="0" fontId="26" fillId="17" borderId="8" xfId="0" applyFont="1" applyFill="1" applyBorder="1" applyAlignment="1">
      <alignment horizontal="left" vertical="center" wrapText="1"/>
    </xf>
    <xf numFmtId="0" fontId="31" fillId="7" borderId="6" xfId="0" applyFont="1" applyFill="1" applyBorder="1" applyAlignment="1">
      <alignment vertical="center"/>
    </xf>
    <xf numFmtId="0" fontId="83" fillId="23" borderId="0" xfId="0" applyFont="1" applyFill="1"/>
    <xf numFmtId="0" fontId="47" fillId="23" borderId="0" xfId="0" applyFont="1" applyFill="1" applyAlignment="1">
      <alignment horizontal="left" vertical="top" wrapText="1"/>
    </xf>
    <xf numFmtId="0" fontId="32" fillId="13" borderId="0" xfId="0" applyFont="1" applyFill="1" applyAlignment="1">
      <alignment horizontal="left" vertical="top" wrapText="1"/>
    </xf>
    <xf numFmtId="0" fontId="32" fillId="23" borderId="0" xfId="0" applyFont="1" applyFill="1" applyAlignment="1">
      <alignment horizontal="left" vertical="top" wrapText="1"/>
    </xf>
    <xf numFmtId="0" fontId="33" fillId="23" borderId="0" xfId="0" applyFont="1" applyFill="1" applyAlignment="1">
      <alignment horizontal="left" vertical="center" wrapText="1"/>
    </xf>
    <xf numFmtId="0" fontId="33" fillId="13" borderId="0" xfId="0" applyFont="1" applyFill="1" applyAlignment="1">
      <alignment horizontal="left" vertical="center" wrapText="1"/>
    </xf>
    <xf numFmtId="0" fontId="85" fillId="8" borderId="2" xfId="0" applyFont="1" applyFill="1" applyBorder="1" applyAlignment="1">
      <alignment horizontal="center" wrapText="1"/>
    </xf>
    <xf numFmtId="0" fontId="85" fillId="8" borderId="4" xfId="0" applyFont="1" applyFill="1" applyBorder="1" applyAlignment="1">
      <alignment horizontal="center" wrapText="1"/>
    </xf>
    <xf numFmtId="0" fontId="85" fillId="8" borderId="3" xfId="0" applyFont="1" applyFill="1" applyBorder="1" applyAlignment="1">
      <alignment horizontal="center" wrapText="1"/>
    </xf>
    <xf numFmtId="0" fontId="84" fillId="8" borderId="4" xfId="0" applyFont="1" applyFill="1" applyBorder="1" applyAlignment="1">
      <alignment horizontal="center" wrapText="1"/>
    </xf>
    <xf numFmtId="0" fontId="32" fillId="13" borderId="0" xfId="0" applyFont="1" applyFill="1" applyAlignment="1">
      <alignment horizontal="left" vertical="center" wrapText="1"/>
    </xf>
    <xf numFmtId="0" fontId="24" fillId="10" borderId="6" xfId="0" applyFont="1" applyFill="1" applyBorder="1" applyAlignment="1">
      <alignment horizontal="left" vertical="center" wrapText="1"/>
    </xf>
    <xf numFmtId="0" fontId="24" fillId="12" borderId="1" xfId="0" applyFont="1" applyFill="1" applyBorder="1" applyAlignment="1">
      <alignment horizontal="left" vertical="center" wrapText="1"/>
    </xf>
    <xf numFmtId="0" fontId="24" fillId="12" borderId="5" xfId="0" applyFont="1" applyFill="1" applyBorder="1" applyAlignment="1">
      <alignment horizontal="left" vertical="center" wrapText="1"/>
    </xf>
    <xf numFmtId="0" fontId="47" fillId="0" borderId="0" xfId="0" applyFont="1" applyAlignment="1">
      <alignment horizontal="left"/>
    </xf>
    <xf numFmtId="0" fontId="33" fillId="10" borderId="0" xfId="0" applyFont="1" applyFill="1" applyAlignment="1">
      <alignment horizontal="left" vertical="center"/>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6" fillId="1" borderId="1" xfId="0" applyFont="1" applyFill="1" applyBorder="1" applyAlignment="1">
      <alignment horizontal="center" vertical="center" wrapText="1"/>
    </xf>
    <xf numFmtId="0" fontId="26" fillId="1" borderId="5" xfId="0" applyFont="1" applyFill="1" applyBorder="1" applyAlignment="1">
      <alignment horizontal="center" vertical="center" wrapText="1"/>
    </xf>
    <xf numFmtId="0" fontId="26" fillId="1" borderId="8" xfId="0" applyFont="1" applyFill="1" applyBorder="1" applyAlignment="1">
      <alignment horizontal="center" vertical="center" wrapText="1"/>
    </xf>
    <xf numFmtId="0" fontId="25" fillId="0" borderId="6" xfId="0" applyFont="1" applyBorder="1" applyAlignment="1">
      <alignment horizontal="left" vertical="center" wrapText="1"/>
    </xf>
    <xf numFmtId="0" fontId="25" fillId="0" borderId="1" xfId="0" applyFont="1" applyBorder="1" applyAlignment="1">
      <alignment horizontal="left" vertical="center"/>
    </xf>
    <xf numFmtId="0" fontId="25" fillId="0" borderId="5" xfId="0" applyFont="1" applyBorder="1" applyAlignment="1">
      <alignment horizontal="left" vertical="center"/>
    </xf>
    <xf numFmtId="0" fontId="91" fillId="1" borderId="1" xfId="3" applyFont="1" applyFill="1" applyBorder="1" applyAlignment="1">
      <alignment horizontal="left" vertical="center" wrapText="1"/>
    </xf>
    <xf numFmtId="0" fontId="91" fillId="1" borderId="8" xfId="3" applyFont="1" applyFill="1" applyBorder="1" applyAlignment="1">
      <alignment horizontal="left" vertical="center" wrapText="1"/>
    </xf>
    <xf numFmtId="0" fontId="91" fillId="1" borderId="5" xfId="3" applyFont="1" applyFill="1" applyBorder="1" applyAlignment="1">
      <alignment horizontal="left" vertical="center" wrapText="1"/>
    </xf>
    <xf numFmtId="0" fontId="24" fillId="0" borderId="8" xfId="0" applyFont="1" applyBorder="1" applyAlignment="1">
      <alignment horizontal="center" vertical="center" wrapText="1"/>
    </xf>
    <xf numFmtId="0" fontId="91" fillId="0" borderId="1" xfId="3" applyFont="1" applyBorder="1" applyAlignment="1">
      <alignment horizontal="left" vertical="center" wrapText="1"/>
    </xf>
    <xf numFmtId="0" fontId="91" fillId="0" borderId="8" xfId="3" applyFont="1" applyBorder="1" applyAlignment="1">
      <alignment horizontal="left" vertical="center" wrapText="1"/>
    </xf>
    <xf numFmtId="0" fontId="91" fillId="0" borderId="5" xfId="3" applyFont="1" applyBorder="1" applyAlignment="1">
      <alignment horizontal="left" vertical="center" wrapText="1"/>
    </xf>
    <xf numFmtId="49" fontId="24" fillId="0" borderId="1" xfId="0" applyNumberFormat="1" applyFont="1" applyBorder="1" applyAlignment="1">
      <alignment horizontal="center" vertical="center" wrapText="1"/>
    </xf>
    <xf numFmtId="49" fontId="24" fillId="0" borderId="8" xfId="0" applyNumberFormat="1" applyFont="1" applyBorder="1" applyAlignment="1">
      <alignment horizontal="center" vertical="center" wrapText="1"/>
    </xf>
    <xf numFmtId="49" fontId="24" fillId="0" borderId="5" xfId="0" applyNumberFormat="1" applyFont="1" applyBorder="1" applyAlignment="1">
      <alignment horizontal="center" vertical="center" wrapText="1"/>
    </xf>
    <xf numFmtId="0" fontId="25" fillId="10" borderId="1" xfId="0" applyFont="1" applyFill="1" applyBorder="1" applyAlignment="1">
      <alignment horizontal="left" vertical="center" wrapText="1"/>
    </xf>
    <xf numFmtId="0" fontId="25" fillId="10" borderId="5" xfId="0" applyFont="1" applyFill="1" applyBorder="1" applyAlignment="1">
      <alignment horizontal="left" vertical="center" wrapText="1"/>
    </xf>
    <xf numFmtId="0" fontId="25" fillId="10" borderId="8" xfId="0" applyFont="1" applyFill="1" applyBorder="1" applyAlignment="1">
      <alignment horizontal="left" vertical="center" wrapText="1"/>
    </xf>
    <xf numFmtId="0" fontId="25" fillId="10" borderId="6" xfId="0" applyFont="1" applyFill="1" applyBorder="1" applyAlignment="1">
      <alignment horizontal="left" vertical="center" wrapText="1"/>
    </xf>
    <xf numFmtId="0" fontId="25" fillId="0" borderId="8" xfId="0" applyFont="1" applyBorder="1" applyAlignment="1">
      <alignment horizontal="left" vertical="center"/>
    </xf>
    <xf numFmtId="0" fontId="25" fillId="1" borderId="1" xfId="0" applyFont="1" applyFill="1" applyBorder="1" applyAlignment="1">
      <alignment horizontal="center" vertical="center"/>
    </xf>
    <xf numFmtId="0" fontId="25" fillId="1" borderId="8" xfId="0" applyFont="1" applyFill="1" applyBorder="1" applyAlignment="1">
      <alignment horizontal="center" vertical="center"/>
    </xf>
    <xf numFmtId="0" fontId="25" fillId="1" borderId="5" xfId="0" applyFont="1" applyFill="1" applyBorder="1" applyAlignment="1">
      <alignment horizontal="center" vertical="center"/>
    </xf>
    <xf numFmtId="0" fontId="25" fillId="3" borderId="6" xfId="0" applyFont="1" applyFill="1" applyBorder="1" applyAlignment="1">
      <alignmen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5" xfId="0" applyFont="1" applyFill="1" applyBorder="1" applyAlignment="1">
      <alignment horizontal="left" vertical="center" wrapText="1"/>
    </xf>
    <xf numFmtId="0" fontId="25" fillId="3" borderId="6" xfId="0" applyFont="1" applyFill="1" applyBorder="1" applyAlignment="1">
      <alignment horizontal="left" vertical="center"/>
    </xf>
    <xf numFmtId="0" fontId="25" fillId="3" borderId="1" xfId="0" applyFont="1" applyFill="1" applyBorder="1" applyAlignment="1">
      <alignment horizontal="left" vertical="center"/>
    </xf>
    <xf numFmtId="0" fontId="25" fillId="3" borderId="5" xfId="0" applyFont="1" applyFill="1" applyBorder="1" applyAlignment="1">
      <alignment horizontal="left" vertical="center"/>
    </xf>
    <xf numFmtId="0" fontId="25" fillId="10" borderId="1" xfId="0" applyFont="1" applyFill="1" applyBorder="1" applyAlignment="1">
      <alignment horizontal="left" vertical="center"/>
    </xf>
    <xf numFmtId="0" fontId="25" fillId="10" borderId="5" xfId="0" applyFont="1" applyFill="1" applyBorder="1" applyAlignment="1">
      <alignment horizontal="left" vertical="center"/>
    </xf>
    <xf numFmtId="0" fontId="25" fillId="0" borderId="6" xfId="0" applyFont="1" applyBorder="1" applyAlignment="1">
      <alignment horizontal="left" vertical="center"/>
    </xf>
    <xf numFmtId="0" fontId="26" fillId="0" borderId="1" xfId="0" applyFont="1" applyBorder="1" applyAlignment="1">
      <alignment horizontal="left" vertical="center"/>
    </xf>
    <xf numFmtId="0" fontId="26" fillId="0" borderId="5" xfId="0" applyFont="1" applyBorder="1" applyAlignment="1">
      <alignment horizontal="left" vertical="center"/>
    </xf>
    <xf numFmtId="0" fontId="26" fillId="0" borderId="1" xfId="0" applyFont="1" applyBorder="1" applyAlignment="1">
      <alignment horizontal="left" vertical="center" wrapText="1"/>
    </xf>
    <xf numFmtId="0" fontId="26" fillId="0" borderId="5" xfId="0" applyFont="1" applyBorder="1" applyAlignment="1">
      <alignment horizontal="left" vertical="center" wrapText="1"/>
    </xf>
  </cellXfs>
  <cellStyles count="11">
    <cellStyle name="Comma" xfId="1" builtinId="3"/>
    <cellStyle name="Comma 2" xfId="7" xr:uid="{A0240C6E-E2EF-4F55-9195-BE4DA1C36F3A}"/>
    <cellStyle name="Comma 3" xfId="10" xr:uid="{E0C46BE8-49A4-492A-86FA-291563C55F1B}"/>
    <cellStyle name="Currency" xfId="6" builtinId="4"/>
    <cellStyle name="Hyperlink" xfId="3" builtinId="8"/>
    <cellStyle name="Normal" xfId="0" builtinId="0"/>
    <cellStyle name="Normal 2 2" xfId="8" xr:uid="{C16E0AF2-B958-492C-87BC-40F0C9706784}"/>
    <cellStyle name="Normal 2 2 10" xfId="4" xr:uid="{C8637107-7606-421C-84E4-FF849B3A4329}"/>
    <cellStyle name="Normal 2 3" xfId="9" xr:uid="{0EA8E1F8-C79A-4130-BA27-013496FA4EE1}"/>
    <cellStyle name="Normal 2 3 10" xfId="5" xr:uid="{4EA52F67-F816-4380-A7C5-C1182AD740F2}"/>
    <cellStyle name="Percent" xfId="2" builtinId="5"/>
  </cellStyles>
  <dxfs count="0"/>
  <tableStyles count="0" defaultTableStyle="TableStyleMedium2" defaultPivotStyle="PivotStyleLight16"/>
  <colors>
    <mruColors>
      <color rgb="FFDDEBF7"/>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36"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35" Type="http://schemas.openxmlformats.org/officeDocument/2006/relationships/customXml" Target="../customXml/item6.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1447565</xdr:colOff>
      <xdr:row>0</xdr:row>
      <xdr:rowOff>161782</xdr:rowOff>
    </xdr:from>
    <xdr:to>
      <xdr:col>8</xdr:col>
      <xdr:colOff>73649</xdr:colOff>
      <xdr:row>2</xdr:row>
      <xdr:rowOff>18272</xdr:rowOff>
    </xdr:to>
    <xdr:pic>
      <xdr:nvPicPr>
        <xdr:cNvPr id="12" name="Picture 11">
          <a:extLst>
            <a:ext uri="{FF2B5EF4-FFF2-40B4-BE49-F238E27FC236}">
              <a16:creationId xmlns:a16="http://schemas.microsoft.com/office/drawing/2014/main" id="{CA23418C-B335-AE33-16A9-BE4736ED5DDA}"/>
            </a:ext>
          </a:extLst>
        </xdr:cNvPr>
        <xdr:cNvPicPr>
          <a:picLocks noChangeAspect="1"/>
        </xdr:cNvPicPr>
      </xdr:nvPicPr>
      <xdr:blipFill>
        <a:blip xmlns:r="http://schemas.openxmlformats.org/officeDocument/2006/relationships" r:embed="rId1"/>
        <a:stretch>
          <a:fillRect/>
        </a:stretch>
      </xdr:blipFill>
      <xdr:spPr>
        <a:xfrm>
          <a:off x="10193247" y="161782"/>
          <a:ext cx="1310402" cy="496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dougal_stacy_stockland_com_au/Documents/Desktop/Stockland%20FY22%20ESG%20Data%20Pack%202%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Pack Overview"/>
      <sheetName val="PEOPLE &gt;&gt;"/>
      <sheetName val="Our Workforce"/>
      <sheetName val="Remuneration"/>
      <sheetName val="Employee Engagement"/>
      <sheetName val="Diversity and Inclusion"/>
      <sheetName val="Health and Safety"/>
      <sheetName val="Human Capital Development"/>
      <sheetName val="ENVIRO &gt;&gt;"/>
      <sheetName val="Energy Consumption"/>
      <sheetName val="Emissions"/>
      <sheetName val="Water"/>
      <sheetName val="Waste"/>
      <sheetName val="Climate Resilience"/>
      <sheetName val="Asset Ratings"/>
      <sheetName val="Biodiversity"/>
      <sheetName val="COMMUNITY &gt;&gt;"/>
      <sheetName val="Community Development"/>
      <sheetName val="Giving &amp; Volunteering"/>
      <sheetName val="CUSTOMER &gt;&gt;"/>
      <sheetName val="Customer Engagement"/>
      <sheetName val="GRI INDEX"/>
      <sheetName val="SASB 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37">
          <cell r="D37">
            <v>86463</v>
          </cell>
        </row>
        <row r="38">
          <cell r="G38">
            <v>15836229.76</v>
          </cell>
          <cell r="H38">
            <v>14658690.900000002</v>
          </cell>
          <cell r="I38">
            <v>13827424.390000001</v>
          </cell>
        </row>
        <row r="39">
          <cell r="G39">
            <v>3274463</v>
          </cell>
          <cell r="H39">
            <v>2387168</v>
          </cell>
          <cell r="I39">
            <v>1940689</v>
          </cell>
        </row>
        <row r="41">
          <cell r="G41">
            <v>83140206.239999995</v>
          </cell>
          <cell r="H41">
            <v>90046244.099999994</v>
          </cell>
          <cell r="I41">
            <v>92537378.609999999</v>
          </cell>
        </row>
      </sheetData>
      <sheetData sheetId="10">
        <row r="52">
          <cell r="C52">
            <v>0.89724680432645032</v>
          </cell>
          <cell r="G52">
            <v>0.94047619047619058</v>
          </cell>
          <cell r="H52">
            <v>0.93023255813953498</v>
          </cell>
          <cell r="I52">
            <v>0.91954022988505757</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EFB53-F337-4B97-AB50-C5CD343C9EB9}">
  <sheetPr>
    <tabColor rgb="FFFFFF00"/>
  </sheetPr>
  <dimension ref="B1:L21"/>
  <sheetViews>
    <sheetView showGridLines="0" zoomScale="110" zoomScaleNormal="110" workbookViewId="0">
      <selection activeCell="D9" sqref="D9"/>
    </sheetView>
  </sheetViews>
  <sheetFormatPr defaultColWidth="8.6640625" defaultRowHeight="13.8"/>
  <cols>
    <col min="1" max="1" width="2.44140625" style="1" customWidth="1"/>
    <col min="2" max="2" width="38.44140625" style="1" customWidth="1"/>
    <col min="3" max="3" width="2.44140625" style="1" customWidth="1"/>
    <col min="4" max="4" width="38.44140625" style="1" customWidth="1"/>
    <col min="5" max="5" width="2.44140625" style="1" customWidth="1"/>
    <col min="6" max="6" width="38.44140625" style="1" customWidth="1"/>
    <col min="7" max="7" width="2.44140625" style="1" customWidth="1"/>
    <col min="8" max="8" width="38.44140625" style="1" customWidth="1"/>
    <col min="9" max="16384" width="8.6640625" style="1"/>
  </cols>
  <sheetData>
    <row r="1" spans="2:12" ht="13.35" customHeight="1"/>
    <row r="2" spans="2:12" ht="36" customHeight="1">
      <c r="B2" s="2" t="s">
        <v>0</v>
      </c>
      <c r="C2" s="3"/>
      <c r="D2" s="2"/>
      <c r="E2" s="3"/>
      <c r="F2" s="2"/>
      <c r="G2" s="3"/>
      <c r="H2" s="2"/>
      <c r="J2" s="1" t="s">
        <v>1</v>
      </c>
    </row>
    <row r="3" spans="2:12" ht="26.1" customHeight="1">
      <c r="B3" s="793" t="s">
        <v>2</v>
      </c>
      <c r="C3" s="793"/>
      <c r="D3" s="793"/>
      <c r="E3" s="793"/>
      <c r="F3" s="793"/>
      <c r="G3" s="793"/>
      <c r="H3" s="793"/>
      <c r="L3" s="1" t="s">
        <v>1</v>
      </c>
    </row>
    <row r="4" spans="2:12" ht="20.100000000000001" customHeight="1">
      <c r="B4" s="702" t="s">
        <v>3</v>
      </c>
      <c r="C4" s="4"/>
      <c r="D4" s="702" t="s">
        <v>4</v>
      </c>
      <c r="E4" s="4"/>
      <c r="F4" s="702" t="s">
        <v>5</v>
      </c>
      <c r="G4" s="4"/>
      <c r="H4" s="703" t="s">
        <v>6</v>
      </c>
    </row>
    <row r="5" spans="2:12">
      <c r="B5" s="458" t="s">
        <v>7</v>
      </c>
      <c r="C5" s="5"/>
      <c r="D5" s="457" t="s">
        <v>8</v>
      </c>
      <c r="E5" s="5"/>
      <c r="F5" s="704" t="s">
        <v>9</v>
      </c>
      <c r="G5" s="5"/>
      <c r="H5" s="705" t="s">
        <v>10</v>
      </c>
      <c r="I5" s="7"/>
    </row>
    <row r="6" spans="2:12">
      <c r="B6" s="459" t="s">
        <v>11</v>
      </c>
      <c r="C6" s="5"/>
      <c r="D6" s="457" t="s">
        <v>12</v>
      </c>
      <c r="E6" s="5"/>
      <c r="F6" s="704" t="s">
        <v>13</v>
      </c>
      <c r="G6" s="5"/>
      <c r="H6" s="6"/>
      <c r="I6" s="7"/>
    </row>
    <row r="7" spans="2:12">
      <c r="B7" s="459" t="s">
        <v>14</v>
      </c>
      <c r="C7" s="5"/>
      <c r="D7" s="457" t="s">
        <v>15</v>
      </c>
      <c r="E7" s="5"/>
      <c r="F7" s="8"/>
      <c r="G7" s="5"/>
      <c r="H7" s="8"/>
      <c r="I7" s="7"/>
    </row>
    <row r="8" spans="2:12">
      <c r="B8" s="459" t="s">
        <v>16</v>
      </c>
      <c r="C8" s="5"/>
      <c r="D8" s="457" t="s">
        <v>17</v>
      </c>
      <c r="E8" s="5"/>
      <c r="F8" s="5"/>
      <c r="G8" s="5"/>
      <c r="H8" s="5"/>
      <c r="I8" s="7"/>
    </row>
    <row r="9" spans="2:12">
      <c r="B9" s="458" t="s">
        <v>18</v>
      </c>
      <c r="C9" s="5"/>
      <c r="D9" s="457" t="s">
        <v>19</v>
      </c>
      <c r="E9" s="5"/>
      <c r="F9" s="5"/>
      <c r="G9" s="5"/>
      <c r="H9" s="5"/>
    </row>
    <row r="10" spans="2:12">
      <c r="B10" s="459" t="s">
        <v>20</v>
      </c>
      <c r="C10" s="5"/>
      <c r="D10" s="457" t="s">
        <v>21</v>
      </c>
      <c r="E10" s="5"/>
      <c r="F10" s="5"/>
      <c r="G10" s="5"/>
      <c r="H10" s="9" t="s">
        <v>22</v>
      </c>
    </row>
    <row r="11" spans="2:12">
      <c r="B11" s="5"/>
      <c r="C11" s="5"/>
      <c r="D11" s="457" t="s">
        <v>23</v>
      </c>
      <c r="E11" s="5"/>
      <c r="F11" s="5"/>
      <c r="G11" s="5"/>
      <c r="H11" s="460" t="s">
        <v>24</v>
      </c>
    </row>
    <row r="12" spans="2:12">
      <c r="B12" s="5"/>
      <c r="C12" s="5"/>
      <c r="D12" s="5"/>
      <c r="E12" s="5"/>
      <c r="F12" s="5"/>
      <c r="G12" s="5"/>
      <c r="H12" s="460" t="s">
        <v>25</v>
      </c>
    </row>
    <row r="13" spans="2:12" ht="16.350000000000001" customHeight="1">
      <c r="B13" s="5"/>
      <c r="C13" s="5"/>
      <c r="D13" s="5"/>
      <c r="E13" s="5"/>
      <c r="F13" s="5"/>
      <c r="G13" s="5"/>
      <c r="H13" s="5"/>
    </row>
    <row r="14" spans="2:12" ht="24.6" customHeight="1">
      <c r="B14" s="2" t="s">
        <v>26</v>
      </c>
      <c r="C14" s="3"/>
      <c r="D14" s="2"/>
      <c r="E14" s="3"/>
      <c r="F14" s="2"/>
      <c r="G14" s="3"/>
      <c r="H14" s="2"/>
      <c r="I14" s="10"/>
      <c r="J14" s="11"/>
    </row>
    <row r="15" spans="2:12" ht="183.6" customHeight="1">
      <c r="B15" s="793" t="s">
        <v>27</v>
      </c>
      <c r="C15" s="793"/>
      <c r="D15" s="793"/>
      <c r="E15" s="793"/>
      <c r="F15" s="793"/>
      <c r="G15" s="793"/>
      <c r="H15" s="793"/>
    </row>
    <row r="16" spans="2:12" ht="18.600000000000001" customHeight="1">
      <c r="B16" s="12" t="s">
        <v>28</v>
      </c>
      <c r="C16" s="13"/>
      <c r="D16" s="14"/>
      <c r="E16" s="13"/>
      <c r="F16" s="14"/>
      <c r="G16" s="13"/>
      <c r="H16" s="14"/>
      <c r="J16" s="11"/>
    </row>
    <row r="17" spans="2:10" ht="43.35" customHeight="1">
      <c r="B17" s="793" t="s">
        <v>29</v>
      </c>
      <c r="C17" s="793"/>
      <c r="D17" s="793"/>
      <c r="E17" s="793"/>
      <c r="F17" s="793"/>
      <c r="G17" s="793"/>
      <c r="H17" s="793"/>
    </row>
    <row r="18" spans="2:10" ht="21">
      <c r="B18" s="15" t="s">
        <v>30</v>
      </c>
      <c r="C18" s="16"/>
      <c r="D18" s="17"/>
      <c r="E18" s="16"/>
      <c r="F18" s="17"/>
      <c r="G18" s="16"/>
      <c r="H18" s="17"/>
      <c r="J18" s="11"/>
    </row>
    <row r="19" spans="2:10" ht="85.35" customHeight="1">
      <c r="B19" s="793" t="s">
        <v>1703</v>
      </c>
      <c r="C19" s="793"/>
      <c r="D19" s="793"/>
      <c r="E19" s="793"/>
      <c r="F19" s="793"/>
      <c r="G19" s="793"/>
      <c r="H19" s="793"/>
    </row>
    <row r="20" spans="2:10">
      <c r="B20" s="780" t="s">
        <v>31</v>
      </c>
      <c r="C20" s="759"/>
      <c r="D20" s="759"/>
      <c r="E20" s="759"/>
      <c r="F20" s="759"/>
      <c r="G20" s="759"/>
      <c r="H20" s="759"/>
    </row>
    <row r="21" spans="2:10" ht="33" customHeight="1">
      <c r="B21" s="793" t="s">
        <v>1702</v>
      </c>
      <c r="C21" s="793"/>
      <c r="D21" s="793"/>
      <c r="E21" s="793"/>
      <c r="F21" s="793"/>
      <c r="G21" s="793"/>
      <c r="H21" s="793"/>
      <c r="I21" s="792"/>
      <c r="J21" s="792"/>
    </row>
  </sheetData>
  <sheetProtection algorithmName="SHA-512" hashValue="CmGa9F6/O6dKVHmzHif5uvTlIdjo9BZ8bCYMCoOhAAuf5V6aQ2MLk9IHI9C7bunGTucvxPewYobYZICFxjN3cQ==" saltValue="5Q6wqBIKzMClK5OdbKIVvQ==" spinCount="100000" sheet="1" objects="1" scenarios="1"/>
  <mergeCells count="6">
    <mergeCell ref="I21:J21"/>
    <mergeCell ref="B3:H3"/>
    <mergeCell ref="B15:H15"/>
    <mergeCell ref="B17:H17"/>
    <mergeCell ref="B19:H19"/>
    <mergeCell ref="B21:H21"/>
  </mergeCells>
  <hyperlinks>
    <hyperlink ref="B6" location="Remuneration!A1" display="Remuneration!A1" xr:uid="{0CAA475F-AABA-420A-BE6B-AC0ED9E0D2FB}"/>
    <hyperlink ref="B7" location="'Employee Engagement'!A1" display="'Employee Engagement'!A1" xr:uid="{22518283-1999-45E0-8A63-7C2D41F4246B}"/>
    <hyperlink ref="B8" location="'Diversity and inclusion'!A1" display="'Diversity and inclusion'!A1" xr:uid="{C26BBB67-8C9B-42AB-9A9C-C43858700550}"/>
    <hyperlink ref="B9" location="'Health and Safety'!A1" display="Health and Safety" xr:uid="{EF48E2F1-9B0A-4F4B-89D0-E11D183134F0}"/>
    <hyperlink ref="B10" location="'Human capital development'!A1" display="'Human capital development'!A1" xr:uid="{AE16E001-6D4A-4B33-9A57-013AC5B17779}"/>
    <hyperlink ref="F5" location="'Community Investment'!A1" display="Community Investment" xr:uid="{8ECB7A1D-DEF1-474C-8BBE-D54ABF1137DB}"/>
    <hyperlink ref="B4" location="'PEOPLE&gt;&gt;&gt;'!A1" display="People" xr:uid="{3BEC3AF9-0694-4530-A3AB-12C8CECDA163}"/>
    <hyperlink ref="F4" location="'COMMUNITY &gt; &gt;'!A1" display="Community" xr:uid="{2A5A4594-6518-4D9B-9396-AB06ECFF330A}"/>
    <hyperlink ref="B5" location="'Our Workforce'!A1" display="Our Workforce" xr:uid="{E568A2C4-8C99-4E54-9EB8-2329B102946A}"/>
    <hyperlink ref="D6" location="Emissions!A1" display="Emissions!A1" xr:uid="{0510746C-036A-4A45-834E-F8D6D8DB534B}"/>
    <hyperlink ref="D9" location="'Climate Resilience'!A1" display="Climate Resilience" xr:uid="{72919D7A-EF17-44FE-AFCB-C5DB46229C8C}"/>
    <hyperlink ref="D5" location="'Energy Consumption'!A1" display="'Energy Consumption'!A1" xr:uid="{77A62A5B-EBEB-4801-B460-FB3353CC7B1D}"/>
    <hyperlink ref="D11" location="Biodiversity!A1" display="Biodiversity" xr:uid="{8C12D9A4-EFA4-4DD6-B9FB-F43C207B02B6}"/>
    <hyperlink ref="D8" location="Waste!A1" display="Waste!A1" xr:uid="{22B720CF-D24D-4FF6-84AF-1182483A6427}"/>
    <hyperlink ref="D7" location="Water!A1" display="Water" xr:uid="{71124716-D7C3-45AF-9A2C-A84D41BF7152}"/>
    <hyperlink ref="D10" location="'Asset Ratings'!A1" display="'Asset Ratings'!A1" xr:uid="{8E849BDA-DF5B-4761-9C01-3AA8E4810197}"/>
    <hyperlink ref="D4" location="'ENVIRO &gt; &gt;'!A1" display="Environment" xr:uid="{FF39B73F-AC7B-42CE-B152-2F792A556392}"/>
    <hyperlink ref="H10" location="'COMMUNITY &gt;&gt;'!A1" display="Community" xr:uid="{CEED2352-3894-436D-B6F7-4E1214A82C24}"/>
    <hyperlink ref="H11" location="'GRI INDEX'!A1" display="GRI Index" xr:uid="{FE5AED5A-F9E3-4663-9BC3-07645C11D422}"/>
    <hyperlink ref="H12" location="'SASB INDEX'!A1" display="SASB Index" xr:uid="{BC9B1526-A488-4F34-BE83-FD09B4E7866A}"/>
    <hyperlink ref="F6" location="'Giving &amp; Volunteering'!A1" display="Giving &amp; Volunteering" xr:uid="{D537ECB2-9EE4-4CD3-8C8C-E9D373E1243A}"/>
    <hyperlink ref="H5" location="'Customer Engagement'!A1" display="Customer Engagement" xr:uid="{0FD45557-647E-471E-94C6-7B962D228783}"/>
    <hyperlink ref="H4" location="'CUSTOMER &gt; &gt;'!A1" display="Customer" xr:uid="{EF1FAD61-EF38-4BFA-A87E-6BDB278B7E95}"/>
  </hyperlink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5E31A-CED6-440C-8013-FA0A83092209}">
  <sheetPr>
    <tabColor theme="1" tint="0.34998626667073579"/>
  </sheetPr>
  <dimension ref="A1:O63"/>
  <sheetViews>
    <sheetView showGridLines="0" topLeftCell="A54" zoomScale="110" zoomScaleNormal="110" workbookViewId="0">
      <selection activeCell="B3" sqref="B3:J4"/>
    </sheetView>
  </sheetViews>
  <sheetFormatPr defaultRowHeight="14.4"/>
  <cols>
    <col min="1" max="1" width="2.5546875" customWidth="1"/>
    <col min="2" max="2" width="23.33203125" customWidth="1"/>
    <col min="3" max="3" width="23.44140625" customWidth="1"/>
    <col min="4" max="6" width="10.44140625" customWidth="1"/>
    <col min="7" max="7" width="9.5546875" customWidth="1"/>
    <col min="8" max="8" width="9.44140625" customWidth="1"/>
    <col min="9" max="9" width="59.44140625" customWidth="1"/>
    <col min="10" max="10" width="38.44140625" customWidth="1"/>
    <col min="11" max="11" width="9.44140625" customWidth="1"/>
    <col min="12" max="12" width="54.44140625" customWidth="1"/>
    <col min="13" max="13" width="10.5546875" bestFit="1" customWidth="1"/>
  </cols>
  <sheetData>
    <row r="1" spans="1:13">
      <c r="A1" s="167" t="s">
        <v>32</v>
      </c>
      <c r="B1" s="168"/>
      <c r="C1" s="168"/>
      <c r="D1" s="168"/>
      <c r="E1" s="168"/>
      <c r="F1" s="168"/>
      <c r="G1" s="168"/>
      <c r="H1" s="168"/>
      <c r="I1" s="168"/>
      <c r="J1" s="168"/>
      <c r="K1" s="168"/>
      <c r="L1" s="168"/>
      <c r="M1" s="168"/>
    </row>
    <row r="2" spans="1:13" ht="20.100000000000001" customHeight="1">
      <c r="A2" s="168"/>
      <c r="B2" s="858" t="s">
        <v>402</v>
      </c>
      <c r="C2" s="858"/>
      <c r="D2" s="858"/>
      <c r="E2" s="858"/>
      <c r="F2" s="858"/>
      <c r="G2" s="858"/>
      <c r="H2" s="858"/>
      <c r="I2" s="858"/>
      <c r="J2" s="858"/>
      <c r="K2" s="168"/>
      <c r="L2" s="168"/>
      <c r="M2" s="169"/>
    </row>
    <row r="3" spans="1:13" ht="14.85" customHeight="1">
      <c r="A3" s="168"/>
      <c r="B3" s="859" t="s">
        <v>403</v>
      </c>
      <c r="C3" s="859"/>
      <c r="D3" s="859"/>
      <c r="E3" s="859"/>
      <c r="F3" s="859"/>
      <c r="G3" s="859"/>
      <c r="H3" s="859"/>
      <c r="I3" s="859"/>
      <c r="J3" s="859"/>
      <c r="K3" s="168"/>
      <c r="L3" s="168"/>
      <c r="M3" s="169"/>
    </row>
    <row r="4" spans="1:13" ht="15.6" customHeight="1">
      <c r="A4" s="168"/>
      <c r="B4" s="859"/>
      <c r="C4" s="859"/>
      <c r="D4" s="859"/>
      <c r="E4" s="859"/>
      <c r="F4" s="859"/>
      <c r="G4" s="859"/>
      <c r="H4" s="859"/>
      <c r="I4" s="859"/>
      <c r="J4" s="859"/>
      <c r="K4" s="168"/>
      <c r="L4" s="168"/>
      <c r="M4" s="169"/>
    </row>
    <row r="5" spans="1:13" ht="40.35" customHeight="1">
      <c r="A5" s="168"/>
      <c r="B5" s="871" t="s">
        <v>404</v>
      </c>
      <c r="C5" s="871"/>
      <c r="D5" s="871"/>
      <c r="E5" s="871"/>
      <c r="F5" s="871"/>
      <c r="G5" s="871"/>
      <c r="H5" s="871"/>
      <c r="I5" s="871"/>
      <c r="J5" s="871"/>
      <c r="K5" s="170"/>
      <c r="L5" s="170"/>
      <c r="M5" s="170"/>
    </row>
    <row r="6" spans="1:13" ht="15" customHeight="1">
      <c r="A6" s="168"/>
      <c r="B6" s="871" t="s">
        <v>1702</v>
      </c>
      <c r="C6" s="871"/>
      <c r="D6" s="871"/>
      <c r="E6" s="871"/>
      <c r="F6" s="871"/>
      <c r="G6" s="871"/>
      <c r="H6" s="871"/>
      <c r="I6" s="871"/>
      <c r="J6" s="871"/>
      <c r="K6" s="170"/>
      <c r="L6" s="170"/>
      <c r="M6" s="170"/>
    </row>
    <row r="7" spans="1:13">
      <c r="A7" s="168"/>
      <c r="K7" s="170"/>
      <c r="L7" s="170"/>
      <c r="M7" s="170"/>
    </row>
    <row r="8" spans="1:13" ht="18.600000000000001" customHeight="1">
      <c r="A8" s="168"/>
      <c r="B8" s="171" t="s">
        <v>405</v>
      </c>
      <c r="C8" s="171" t="s">
        <v>406</v>
      </c>
      <c r="D8" s="172" t="s">
        <v>407</v>
      </c>
      <c r="E8" s="172" t="s">
        <v>408</v>
      </c>
      <c r="F8" s="172" t="s">
        <v>12</v>
      </c>
      <c r="G8" s="172" t="s">
        <v>15</v>
      </c>
      <c r="H8" s="172" t="s">
        <v>17</v>
      </c>
      <c r="I8" s="872" t="s">
        <v>409</v>
      </c>
      <c r="J8" s="873"/>
      <c r="K8" s="168"/>
      <c r="L8" s="168"/>
      <c r="M8" s="168"/>
    </row>
    <row r="9" spans="1:13">
      <c r="A9" s="168"/>
      <c r="B9" s="173" t="s">
        <v>410</v>
      </c>
      <c r="C9" s="174"/>
      <c r="D9" s="175"/>
      <c r="E9" s="175"/>
      <c r="F9" s="175"/>
      <c r="G9" s="175"/>
      <c r="H9" s="175"/>
      <c r="I9" s="174"/>
      <c r="J9" s="176"/>
      <c r="K9" s="168"/>
      <c r="L9" s="168"/>
      <c r="M9" s="168"/>
    </row>
    <row r="10" spans="1:13" ht="124.5" customHeight="1">
      <c r="A10" s="168"/>
      <c r="B10" s="177" t="s">
        <v>411</v>
      </c>
      <c r="C10" s="178" t="s">
        <v>412</v>
      </c>
      <c r="D10" s="179" t="s">
        <v>413</v>
      </c>
      <c r="E10" s="180" t="s">
        <v>329</v>
      </c>
      <c r="F10" s="179" t="s">
        <v>413</v>
      </c>
      <c r="G10" s="180" t="s">
        <v>329</v>
      </c>
      <c r="H10" s="180" t="s">
        <v>329</v>
      </c>
      <c r="I10" s="874" t="s">
        <v>414</v>
      </c>
      <c r="J10" s="875"/>
      <c r="K10" s="168"/>
      <c r="L10" s="168"/>
      <c r="M10" s="168"/>
    </row>
    <row r="11" spans="1:13">
      <c r="A11" s="168"/>
      <c r="B11" s="173" t="s">
        <v>326</v>
      </c>
      <c r="C11" s="174"/>
      <c r="D11" s="175"/>
      <c r="E11" s="175"/>
      <c r="F11" s="175"/>
      <c r="G11" s="175"/>
      <c r="H11" s="175"/>
      <c r="I11" s="174"/>
      <c r="J11" s="176"/>
      <c r="K11" s="168"/>
      <c r="L11" s="168"/>
      <c r="M11" s="168"/>
    </row>
    <row r="12" spans="1:13" ht="146.85" customHeight="1">
      <c r="A12" s="168"/>
      <c r="B12" s="876" t="s">
        <v>415</v>
      </c>
      <c r="C12" s="181" t="s">
        <v>416</v>
      </c>
      <c r="D12" s="179" t="s">
        <v>413</v>
      </c>
      <c r="E12" s="179" t="s">
        <v>413</v>
      </c>
      <c r="F12" s="179" t="s">
        <v>413</v>
      </c>
      <c r="G12" s="179" t="s">
        <v>413</v>
      </c>
      <c r="H12" s="179" t="s">
        <v>413</v>
      </c>
      <c r="I12" s="874" t="s">
        <v>417</v>
      </c>
      <c r="J12" s="875"/>
      <c r="K12" s="168"/>
      <c r="L12" s="168"/>
      <c r="M12" s="168"/>
    </row>
    <row r="13" spans="1:13" ht="19.350000000000001" customHeight="1">
      <c r="A13" s="168"/>
      <c r="B13" s="877"/>
      <c r="C13" s="182" t="s">
        <v>418</v>
      </c>
      <c r="D13" s="180" t="s">
        <v>329</v>
      </c>
      <c r="E13" s="180" t="s">
        <v>329</v>
      </c>
      <c r="F13" s="180" t="s">
        <v>329</v>
      </c>
      <c r="G13" s="180" t="s">
        <v>329</v>
      </c>
      <c r="H13" s="179" t="s">
        <v>413</v>
      </c>
      <c r="I13" s="874" t="s">
        <v>419</v>
      </c>
      <c r="J13" s="875"/>
      <c r="K13" s="168"/>
      <c r="L13" s="168"/>
      <c r="M13" s="168"/>
    </row>
    <row r="14" spans="1:13">
      <c r="A14" s="168"/>
      <c r="B14" s="173" t="s">
        <v>420</v>
      </c>
      <c r="C14" s="174"/>
      <c r="D14" s="175"/>
      <c r="E14" s="175"/>
      <c r="F14" s="175"/>
      <c r="G14" s="175"/>
      <c r="H14" s="175"/>
      <c r="I14" s="174"/>
      <c r="J14" s="176"/>
      <c r="K14" s="168"/>
      <c r="L14" s="168"/>
      <c r="M14" s="168"/>
    </row>
    <row r="15" spans="1:13" ht="117.6" customHeight="1">
      <c r="A15" s="168"/>
      <c r="B15" s="183" t="s">
        <v>421</v>
      </c>
      <c r="C15" s="184" t="s">
        <v>422</v>
      </c>
      <c r="D15" s="179" t="s">
        <v>413</v>
      </c>
      <c r="E15" s="179" t="s">
        <v>413</v>
      </c>
      <c r="F15" s="179" t="s">
        <v>413</v>
      </c>
      <c r="G15" s="179" t="s">
        <v>413</v>
      </c>
      <c r="H15" s="180" t="s">
        <v>329</v>
      </c>
      <c r="I15" s="874" t="s">
        <v>423</v>
      </c>
      <c r="J15" s="875"/>
      <c r="K15" s="168"/>
      <c r="L15" s="168"/>
      <c r="M15" s="168"/>
    </row>
    <row r="16" spans="1:13" ht="148.5" customHeight="1">
      <c r="A16" s="168"/>
      <c r="B16" s="183" t="s">
        <v>424</v>
      </c>
      <c r="C16" s="185" t="s">
        <v>425</v>
      </c>
      <c r="D16" s="179" t="s">
        <v>413</v>
      </c>
      <c r="E16" s="179" t="s">
        <v>413</v>
      </c>
      <c r="F16" s="179" t="s">
        <v>413</v>
      </c>
      <c r="G16" s="179" t="s">
        <v>413</v>
      </c>
      <c r="H16" s="179" t="s">
        <v>413</v>
      </c>
      <c r="I16" s="874" t="s">
        <v>426</v>
      </c>
      <c r="J16" s="875"/>
      <c r="K16" s="168"/>
      <c r="L16" s="168"/>
      <c r="M16" s="168"/>
    </row>
    <row r="17" spans="1:15" ht="163.35" customHeight="1">
      <c r="A17" s="168"/>
      <c r="B17" s="183" t="s">
        <v>421</v>
      </c>
      <c r="C17" s="185" t="s">
        <v>427</v>
      </c>
      <c r="D17" s="180" t="s">
        <v>329</v>
      </c>
      <c r="E17" s="180" t="s">
        <v>329</v>
      </c>
      <c r="F17" s="179" t="s">
        <v>413</v>
      </c>
      <c r="G17" s="179" t="s">
        <v>413</v>
      </c>
      <c r="H17" s="179" t="s">
        <v>413</v>
      </c>
      <c r="I17" s="874" t="s">
        <v>428</v>
      </c>
      <c r="J17" s="875"/>
      <c r="K17" s="168"/>
      <c r="L17" s="168"/>
      <c r="M17" s="168"/>
    </row>
    <row r="18" spans="1:15" ht="147" customHeight="1">
      <c r="A18" s="168"/>
      <c r="B18" s="876" t="s">
        <v>429</v>
      </c>
      <c r="C18" s="184" t="s">
        <v>430</v>
      </c>
      <c r="D18" s="179" t="s">
        <v>413</v>
      </c>
      <c r="E18" s="179" t="s">
        <v>413</v>
      </c>
      <c r="F18" s="179" t="s">
        <v>413</v>
      </c>
      <c r="G18" s="179" t="s">
        <v>413</v>
      </c>
      <c r="H18" s="180" t="s">
        <v>329</v>
      </c>
      <c r="I18" s="874" t="s">
        <v>431</v>
      </c>
      <c r="J18" s="875"/>
      <c r="K18" s="168"/>
      <c r="L18" s="168"/>
      <c r="M18" s="168"/>
    </row>
    <row r="19" spans="1:15" ht="49.5" customHeight="1">
      <c r="A19" s="168"/>
      <c r="B19" s="877"/>
      <c r="C19" s="184" t="s">
        <v>432</v>
      </c>
      <c r="D19" s="180" t="s">
        <v>329</v>
      </c>
      <c r="E19" s="180" t="s">
        <v>329</v>
      </c>
      <c r="F19" s="179" t="s">
        <v>413</v>
      </c>
      <c r="G19" s="179" t="s">
        <v>413</v>
      </c>
      <c r="H19" s="179" t="s">
        <v>413</v>
      </c>
      <c r="I19" s="874" t="s">
        <v>433</v>
      </c>
      <c r="J19" s="875"/>
      <c r="K19" s="168"/>
      <c r="L19" s="168"/>
      <c r="M19" s="168"/>
    </row>
    <row r="20" spans="1:15">
      <c r="A20" s="168"/>
      <c r="B20" s="844"/>
      <c r="C20" s="844"/>
      <c r="D20" s="844"/>
      <c r="E20" s="844"/>
      <c r="F20" s="844"/>
      <c r="G20" s="844"/>
      <c r="H20" s="844"/>
      <c r="I20" s="844"/>
      <c r="J20" s="844"/>
      <c r="K20" s="168"/>
      <c r="L20" s="168"/>
      <c r="M20" s="168"/>
    </row>
    <row r="21" spans="1:15" ht="15">
      <c r="A21" s="168"/>
      <c r="B21" s="845"/>
      <c r="C21" s="845"/>
      <c r="D21" s="845"/>
      <c r="E21" s="845"/>
      <c r="F21" s="845"/>
      <c r="G21" s="845"/>
      <c r="H21" s="845"/>
      <c r="I21" s="845"/>
      <c r="J21" s="845"/>
      <c r="K21" s="21" t="s">
        <v>434</v>
      </c>
      <c r="L21" s="22" t="s">
        <v>435</v>
      </c>
      <c r="M21" s="22"/>
      <c r="N21" s="169"/>
    </row>
    <row r="22" spans="1:15" ht="15">
      <c r="A22" s="168"/>
      <c r="B22" s="845"/>
      <c r="C22" s="845"/>
      <c r="D22" s="845"/>
      <c r="E22" s="845"/>
      <c r="F22" s="845"/>
      <c r="G22" s="845"/>
      <c r="H22" s="845"/>
      <c r="I22" s="845"/>
      <c r="J22" s="845"/>
      <c r="K22" s="23" t="s">
        <v>434</v>
      </c>
      <c r="L22" s="22" t="s">
        <v>436</v>
      </c>
      <c r="M22" s="22"/>
      <c r="N22" s="169"/>
    </row>
    <row r="23" spans="1:15" ht="15.6" customHeight="1">
      <c r="A23" s="168"/>
      <c r="B23" s="846" t="s">
        <v>437</v>
      </c>
      <c r="C23" s="846"/>
      <c r="D23" s="846"/>
      <c r="E23" s="846"/>
      <c r="F23" s="846"/>
      <c r="G23" s="846"/>
      <c r="H23" s="846"/>
      <c r="I23" s="846"/>
      <c r="J23" s="846"/>
      <c r="K23" s="24" t="s">
        <v>434</v>
      </c>
      <c r="L23" s="22" t="s">
        <v>438</v>
      </c>
      <c r="M23" s="22"/>
      <c r="N23" s="169"/>
    </row>
    <row r="24" spans="1:15" ht="15.6">
      <c r="A24" s="168"/>
      <c r="B24" s="847"/>
      <c r="C24" s="846"/>
      <c r="D24" s="846"/>
      <c r="E24" s="846"/>
      <c r="F24" s="846"/>
      <c r="G24" s="846"/>
      <c r="H24" s="846"/>
      <c r="I24" s="846"/>
      <c r="J24" s="846"/>
      <c r="K24" s="200"/>
      <c r="L24" s="168"/>
      <c r="M24" s="168"/>
      <c r="N24" s="168"/>
    </row>
    <row r="25" spans="1:15" ht="14.85" customHeight="1">
      <c r="A25" s="168"/>
      <c r="B25" s="186" t="s">
        <v>439</v>
      </c>
      <c r="C25" s="187" t="s">
        <v>440</v>
      </c>
      <c r="D25" s="878" t="s">
        <v>441</v>
      </c>
      <c r="E25" s="880"/>
      <c r="F25" s="880"/>
      <c r="G25" s="880"/>
      <c r="H25" s="879"/>
      <c r="I25" s="878" t="s">
        <v>442</v>
      </c>
      <c r="J25" s="879"/>
      <c r="K25" s="187" t="s">
        <v>443</v>
      </c>
      <c r="L25" s="192"/>
      <c r="M25" s="192"/>
      <c r="N25" s="168"/>
      <c r="O25" s="168"/>
    </row>
    <row r="26" spans="1:15">
      <c r="A26" s="168"/>
      <c r="B26" s="188" t="s">
        <v>23</v>
      </c>
      <c r="C26" s="189"/>
      <c r="D26" s="190"/>
      <c r="E26" s="190"/>
      <c r="F26" s="189"/>
      <c r="G26" s="189"/>
      <c r="H26" s="189"/>
      <c r="I26" s="190"/>
      <c r="J26" s="190"/>
      <c r="K26" s="191"/>
      <c r="L26" s="192"/>
      <c r="M26" s="192"/>
      <c r="N26" s="168"/>
      <c r="O26" s="168"/>
    </row>
    <row r="27" spans="1:15" ht="44.1" customHeight="1">
      <c r="A27" s="192"/>
      <c r="B27" s="866" t="s">
        <v>444</v>
      </c>
      <c r="C27" s="193" t="s">
        <v>445</v>
      </c>
      <c r="D27" s="839" t="s">
        <v>446</v>
      </c>
      <c r="E27" s="840"/>
      <c r="F27" s="840"/>
      <c r="G27" s="840"/>
      <c r="H27" s="841"/>
      <c r="I27" s="842" t="s">
        <v>447</v>
      </c>
      <c r="J27" s="843"/>
      <c r="K27" s="194" t="s">
        <v>434</v>
      </c>
      <c r="L27" s="192"/>
      <c r="M27" s="192"/>
      <c r="N27" s="192"/>
      <c r="O27" s="192"/>
    </row>
    <row r="28" spans="1:15" ht="76.2" customHeight="1">
      <c r="A28" s="192"/>
      <c r="B28" s="867"/>
      <c r="C28" s="29" t="s">
        <v>420</v>
      </c>
      <c r="D28" s="839" t="s">
        <v>448</v>
      </c>
      <c r="E28" s="840"/>
      <c r="F28" s="840"/>
      <c r="G28" s="840"/>
      <c r="H28" s="841"/>
      <c r="I28" s="842" t="s">
        <v>449</v>
      </c>
      <c r="J28" s="843"/>
      <c r="K28" s="194" t="s">
        <v>434</v>
      </c>
      <c r="L28" s="192"/>
      <c r="M28" s="192"/>
      <c r="N28" s="192"/>
      <c r="O28" s="192"/>
    </row>
    <row r="29" spans="1:15" ht="48" customHeight="1">
      <c r="A29" s="192"/>
      <c r="B29" s="866" t="s">
        <v>450</v>
      </c>
      <c r="C29" s="29" t="s">
        <v>420</v>
      </c>
      <c r="D29" s="839" t="s">
        <v>451</v>
      </c>
      <c r="E29" s="840"/>
      <c r="F29" s="840"/>
      <c r="G29" s="840"/>
      <c r="H29" s="841"/>
      <c r="I29" s="842" t="s">
        <v>452</v>
      </c>
      <c r="J29" s="843"/>
      <c r="K29" s="194" t="s">
        <v>434</v>
      </c>
      <c r="L29" s="192"/>
      <c r="M29" s="192"/>
      <c r="N29" s="192"/>
      <c r="O29" s="192"/>
    </row>
    <row r="30" spans="1:15" ht="31.5" customHeight="1">
      <c r="A30" s="192"/>
      <c r="B30" s="867"/>
      <c r="C30" s="29" t="s">
        <v>445</v>
      </c>
      <c r="D30" s="839" t="s">
        <v>453</v>
      </c>
      <c r="E30" s="840"/>
      <c r="F30" s="840"/>
      <c r="G30" s="840"/>
      <c r="H30" s="841"/>
      <c r="I30" s="842" t="s">
        <v>454</v>
      </c>
      <c r="J30" s="843"/>
      <c r="K30" s="194" t="s">
        <v>434</v>
      </c>
      <c r="L30" s="192"/>
      <c r="M30" s="192"/>
      <c r="N30" s="192"/>
      <c r="O30" s="192"/>
    </row>
    <row r="31" spans="1:15">
      <c r="A31" s="168"/>
      <c r="B31" s="188" t="s">
        <v>455</v>
      </c>
      <c r="C31" s="189"/>
      <c r="D31" s="190"/>
      <c r="E31" s="190"/>
      <c r="F31" s="189"/>
      <c r="G31" s="189"/>
      <c r="H31" s="189"/>
      <c r="I31" s="190"/>
      <c r="J31" s="190"/>
      <c r="K31" s="191"/>
      <c r="L31" s="192"/>
      <c r="M31" s="192"/>
      <c r="N31" s="168"/>
      <c r="O31" s="168"/>
    </row>
    <row r="32" spans="1:15" ht="87" customHeight="1">
      <c r="A32" s="168"/>
      <c r="B32" s="868" t="s">
        <v>456</v>
      </c>
      <c r="C32" s="29" t="s">
        <v>445</v>
      </c>
      <c r="D32" s="839" t="s">
        <v>457</v>
      </c>
      <c r="E32" s="840"/>
      <c r="F32" s="840"/>
      <c r="G32" s="840"/>
      <c r="H32" s="841"/>
      <c r="I32" s="861" t="s">
        <v>1706</v>
      </c>
      <c r="J32" s="862"/>
      <c r="K32" s="194" t="s">
        <v>434</v>
      </c>
      <c r="L32" s="192"/>
      <c r="M32" s="192"/>
      <c r="N32" s="168"/>
      <c r="O32" s="168"/>
    </row>
    <row r="33" spans="1:15" ht="33" customHeight="1">
      <c r="A33" s="192"/>
      <c r="B33" s="869"/>
      <c r="C33" s="851" t="s">
        <v>326</v>
      </c>
      <c r="D33" s="839" t="s">
        <v>458</v>
      </c>
      <c r="E33" s="840"/>
      <c r="F33" s="840"/>
      <c r="G33" s="840"/>
      <c r="H33" s="841"/>
      <c r="I33" s="842" t="s">
        <v>459</v>
      </c>
      <c r="J33" s="843"/>
      <c r="K33" s="30" t="s">
        <v>434</v>
      </c>
      <c r="L33" s="192"/>
      <c r="M33" s="192"/>
      <c r="N33" s="192"/>
      <c r="O33" s="192"/>
    </row>
    <row r="34" spans="1:15" ht="34.35" customHeight="1">
      <c r="A34" s="192"/>
      <c r="B34" s="869"/>
      <c r="C34" s="852"/>
      <c r="D34" s="839" t="s">
        <v>460</v>
      </c>
      <c r="E34" s="840"/>
      <c r="F34" s="840"/>
      <c r="G34" s="840"/>
      <c r="H34" s="841"/>
      <c r="I34" s="842" t="s">
        <v>461</v>
      </c>
      <c r="J34" s="843"/>
      <c r="K34" s="194" t="s">
        <v>434</v>
      </c>
      <c r="L34" s="192"/>
      <c r="M34" s="192"/>
      <c r="N34" s="192"/>
      <c r="O34" s="192"/>
    </row>
    <row r="35" spans="1:15" ht="27.6" customHeight="1">
      <c r="A35" s="192"/>
      <c r="B35" s="869"/>
      <c r="C35" s="852"/>
      <c r="D35" s="839" t="s">
        <v>462</v>
      </c>
      <c r="E35" s="840"/>
      <c r="F35" s="840"/>
      <c r="G35" s="840"/>
      <c r="H35" s="841"/>
      <c r="I35" s="842" t="s">
        <v>463</v>
      </c>
      <c r="J35" s="843"/>
      <c r="K35" s="194" t="s">
        <v>434</v>
      </c>
      <c r="L35" s="192"/>
      <c r="M35" s="192"/>
      <c r="N35" s="192"/>
      <c r="O35" s="192"/>
    </row>
    <row r="36" spans="1:15" ht="37.5" customHeight="1">
      <c r="A36" s="192"/>
      <c r="B36" s="869"/>
      <c r="C36" s="852"/>
      <c r="D36" s="839" t="s">
        <v>464</v>
      </c>
      <c r="E36" s="840"/>
      <c r="F36" s="840"/>
      <c r="G36" s="840"/>
      <c r="H36" s="841"/>
      <c r="I36" s="860" t="s">
        <v>465</v>
      </c>
      <c r="J36" s="860"/>
      <c r="K36" s="194" t="s">
        <v>434</v>
      </c>
      <c r="L36" s="192"/>
      <c r="M36" s="192"/>
      <c r="N36" s="192"/>
      <c r="O36" s="192"/>
    </row>
    <row r="37" spans="1:15" ht="33.6" customHeight="1">
      <c r="A37" s="192"/>
      <c r="B37" s="869"/>
      <c r="C37" s="853"/>
      <c r="D37" s="839" t="s">
        <v>466</v>
      </c>
      <c r="E37" s="840"/>
      <c r="F37" s="840"/>
      <c r="G37" s="840"/>
      <c r="H37" s="841"/>
      <c r="I37" s="861" t="s">
        <v>467</v>
      </c>
      <c r="J37" s="862"/>
      <c r="K37" s="194" t="s">
        <v>434</v>
      </c>
      <c r="L37" s="192"/>
      <c r="M37" s="192"/>
      <c r="N37" s="192"/>
      <c r="O37" s="192"/>
    </row>
    <row r="38" spans="1:15" ht="39.6" customHeight="1">
      <c r="A38" s="192"/>
      <c r="B38" s="869"/>
      <c r="C38" s="863" t="s">
        <v>420</v>
      </c>
      <c r="D38" s="839" t="s">
        <v>468</v>
      </c>
      <c r="E38" s="840"/>
      <c r="F38" s="840"/>
      <c r="G38" s="840"/>
      <c r="H38" s="841"/>
      <c r="I38" s="842" t="s">
        <v>469</v>
      </c>
      <c r="J38" s="843"/>
      <c r="K38" s="194" t="s">
        <v>434</v>
      </c>
      <c r="L38" s="192"/>
      <c r="M38" s="192"/>
      <c r="N38" s="192"/>
      <c r="O38" s="192"/>
    </row>
    <row r="39" spans="1:15" ht="30" customHeight="1">
      <c r="A39" s="192"/>
      <c r="B39" s="869"/>
      <c r="C39" s="864"/>
      <c r="D39" s="839" t="s">
        <v>470</v>
      </c>
      <c r="E39" s="840"/>
      <c r="F39" s="840"/>
      <c r="G39" s="840"/>
      <c r="H39" s="841"/>
      <c r="I39" s="842" t="s">
        <v>471</v>
      </c>
      <c r="J39" s="843"/>
      <c r="K39" s="195" t="s">
        <v>472</v>
      </c>
      <c r="L39" s="192"/>
      <c r="M39" s="192"/>
      <c r="N39" s="192"/>
      <c r="O39" s="192"/>
    </row>
    <row r="40" spans="1:15" ht="57" customHeight="1">
      <c r="A40" s="192"/>
      <c r="B40" s="870"/>
      <c r="C40" s="865"/>
      <c r="D40" s="839" t="s">
        <v>473</v>
      </c>
      <c r="E40" s="840"/>
      <c r="F40" s="840"/>
      <c r="G40" s="840"/>
      <c r="H40" s="841"/>
      <c r="I40" s="842" t="s">
        <v>474</v>
      </c>
      <c r="J40" s="843"/>
      <c r="K40" s="194" t="s">
        <v>434</v>
      </c>
      <c r="L40" s="192"/>
      <c r="M40" s="192"/>
      <c r="N40" s="192"/>
      <c r="O40" s="192"/>
    </row>
    <row r="41" spans="1:15" ht="28.5" customHeight="1">
      <c r="A41" s="192"/>
      <c r="B41" s="848" t="s">
        <v>475</v>
      </c>
      <c r="C41" s="29" t="s">
        <v>326</v>
      </c>
      <c r="D41" s="839" t="s">
        <v>476</v>
      </c>
      <c r="E41" s="840"/>
      <c r="F41" s="840"/>
      <c r="G41" s="840"/>
      <c r="H41" s="841"/>
      <c r="I41" s="860" t="s">
        <v>477</v>
      </c>
      <c r="J41" s="860"/>
      <c r="K41" s="194" t="s">
        <v>434</v>
      </c>
      <c r="L41" s="192"/>
      <c r="M41" s="192"/>
      <c r="N41" s="192"/>
      <c r="O41" s="192"/>
    </row>
    <row r="42" spans="1:15" ht="29.1" customHeight="1">
      <c r="A42" s="192"/>
      <c r="B42" s="849"/>
      <c r="C42" s="29" t="s">
        <v>326</v>
      </c>
      <c r="D42" s="839" t="s">
        <v>478</v>
      </c>
      <c r="E42" s="840"/>
      <c r="F42" s="840"/>
      <c r="G42" s="840"/>
      <c r="H42" s="841"/>
      <c r="I42" s="860" t="s">
        <v>479</v>
      </c>
      <c r="J42" s="860"/>
      <c r="K42" s="194" t="s">
        <v>434</v>
      </c>
      <c r="L42" s="192"/>
      <c r="M42" s="192"/>
      <c r="N42" s="192"/>
      <c r="O42" s="192"/>
    </row>
    <row r="43" spans="1:15" ht="46.5" customHeight="1">
      <c r="A43" s="192"/>
      <c r="B43" s="850"/>
      <c r="C43" s="29" t="s">
        <v>420</v>
      </c>
      <c r="D43" s="839" t="s">
        <v>480</v>
      </c>
      <c r="E43" s="840"/>
      <c r="F43" s="840"/>
      <c r="G43" s="840"/>
      <c r="H43" s="841"/>
      <c r="I43" s="842" t="s">
        <v>481</v>
      </c>
      <c r="J43" s="843"/>
      <c r="K43" s="194" t="s">
        <v>434</v>
      </c>
      <c r="L43" s="192"/>
      <c r="M43" s="192"/>
      <c r="N43" s="192"/>
      <c r="O43" s="192"/>
    </row>
    <row r="44" spans="1:15">
      <c r="A44" s="168"/>
      <c r="B44" s="188" t="s">
        <v>19</v>
      </c>
      <c r="C44" s="189"/>
      <c r="D44" s="190"/>
      <c r="E44" s="190"/>
      <c r="F44" s="189"/>
      <c r="G44" s="189"/>
      <c r="H44" s="189"/>
      <c r="I44" s="190"/>
      <c r="J44" s="190"/>
      <c r="K44" s="191"/>
      <c r="L44" s="192"/>
      <c r="M44" s="192"/>
      <c r="N44" s="168"/>
      <c r="O44" s="168"/>
    </row>
    <row r="45" spans="1:15" ht="33.6" customHeight="1">
      <c r="A45" s="192"/>
      <c r="B45" s="848" t="s">
        <v>482</v>
      </c>
      <c r="C45" s="851" t="s">
        <v>445</v>
      </c>
      <c r="D45" s="839" t="s">
        <v>483</v>
      </c>
      <c r="E45" s="840"/>
      <c r="F45" s="840"/>
      <c r="G45" s="840"/>
      <c r="H45" s="841"/>
      <c r="I45" s="842" t="s">
        <v>484</v>
      </c>
      <c r="J45" s="843"/>
      <c r="K45" s="30" t="s">
        <v>434</v>
      </c>
      <c r="L45" s="192"/>
      <c r="M45" s="192"/>
      <c r="N45" s="192"/>
      <c r="O45" s="192"/>
    </row>
    <row r="46" spans="1:15" ht="22.2" customHeight="1">
      <c r="A46" s="192"/>
      <c r="B46" s="849"/>
      <c r="C46" s="853"/>
      <c r="D46" s="839" t="s">
        <v>485</v>
      </c>
      <c r="E46" s="840"/>
      <c r="F46" s="840"/>
      <c r="G46" s="840"/>
      <c r="H46" s="841"/>
      <c r="I46" s="842" t="s">
        <v>486</v>
      </c>
      <c r="J46" s="843"/>
      <c r="K46" s="30" t="s">
        <v>434</v>
      </c>
      <c r="L46" s="192"/>
      <c r="M46" s="192"/>
      <c r="N46" s="192"/>
      <c r="O46" s="192"/>
    </row>
    <row r="47" spans="1:15" ht="20.399999999999999" customHeight="1">
      <c r="A47" s="192"/>
      <c r="B47" s="849"/>
      <c r="C47" s="851" t="s">
        <v>420</v>
      </c>
      <c r="D47" s="839" t="s">
        <v>487</v>
      </c>
      <c r="E47" s="840"/>
      <c r="F47" s="840"/>
      <c r="G47" s="840"/>
      <c r="H47" s="841"/>
      <c r="I47" s="842" t="s">
        <v>488</v>
      </c>
      <c r="J47" s="843"/>
      <c r="K47" s="194" t="s">
        <v>434</v>
      </c>
      <c r="L47" s="192"/>
      <c r="M47" s="192"/>
      <c r="N47" s="192"/>
      <c r="O47" s="192"/>
    </row>
    <row r="48" spans="1:15" ht="35.700000000000003" customHeight="1">
      <c r="A48" s="192"/>
      <c r="B48" s="850"/>
      <c r="C48" s="853"/>
      <c r="D48" s="839" t="s">
        <v>489</v>
      </c>
      <c r="E48" s="840"/>
      <c r="F48" s="840"/>
      <c r="G48" s="840"/>
      <c r="H48" s="841"/>
      <c r="I48" s="842" t="s">
        <v>490</v>
      </c>
      <c r="J48" s="843"/>
      <c r="K48" s="194" t="s">
        <v>434</v>
      </c>
      <c r="L48" s="192"/>
      <c r="M48" s="192"/>
      <c r="N48" s="192"/>
      <c r="O48" s="192"/>
    </row>
    <row r="49" spans="1:15">
      <c r="A49" s="168"/>
      <c r="B49" s="188" t="s">
        <v>491</v>
      </c>
      <c r="C49" s="189"/>
      <c r="D49" s="190"/>
      <c r="E49" s="190"/>
      <c r="F49" s="189"/>
      <c r="G49" s="189"/>
      <c r="H49" s="189"/>
      <c r="I49" s="190"/>
      <c r="J49" s="190"/>
      <c r="K49" s="191"/>
      <c r="L49" s="192"/>
      <c r="M49" s="192"/>
      <c r="N49" s="168"/>
      <c r="O49" s="168"/>
    </row>
    <row r="50" spans="1:15" ht="24" customHeight="1">
      <c r="A50" s="192"/>
      <c r="B50" s="848" t="s">
        <v>492</v>
      </c>
      <c r="C50" s="29" t="s">
        <v>445</v>
      </c>
      <c r="D50" s="839" t="s">
        <v>493</v>
      </c>
      <c r="E50" s="840"/>
      <c r="F50" s="840"/>
      <c r="G50" s="840"/>
      <c r="H50" s="841"/>
      <c r="I50" s="842" t="s">
        <v>494</v>
      </c>
      <c r="J50" s="843"/>
      <c r="K50" s="194" t="s">
        <v>434</v>
      </c>
      <c r="L50" s="192"/>
      <c r="M50" s="192"/>
      <c r="N50" s="192"/>
      <c r="O50" s="192"/>
    </row>
    <row r="51" spans="1:15" ht="60" customHeight="1">
      <c r="A51" s="192"/>
      <c r="B51" s="849"/>
      <c r="C51" s="29" t="s">
        <v>445</v>
      </c>
      <c r="D51" s="839" t="s">
        <v>495</v>
      </c>
      <c r="E51" s="840"/>
      <c r="F51" s="840"/>
      <c r="G51" s="840"/>
      <c r="H51" s="841"/>
      <c r="I51" s="842" t="s">
        <v>496</v>
      </c>
      <c r="J51" s="843"/>
      <c r="K51" s="194" t="s">
        <v>434</v>
      </c>
      <c r="L51" s="192"/>
      <c r="M51" s="192"/>
      <c r="N51" s="192"/>
      <c r="O51" s="192"/>
    </row>
    <row r="52" spans="1:15" ht="26.85" customHeight="1">
      <c r="A52" s="192"/>
      <c r="B52" s="849"/>
      <c r="C52" s="29" t="s">
        <v>326</v>
      </c>
      <c r="D52" s="839" t="s">
        <v>497</v>
      </c>
      <c r="E52" s="840"/>
      <c r="F52" s="840"/>
      <c r="G52" s="840"/>
      <c r="H52" s="841"/>
      <c r="I52" s="842" t="s">
        <v>498</v>
      </c>
      <c r="J52" s="843"/>
      <c r="K52" s="30" t="s">
        <v>434</v>
      </c>
      <c r="L52" s="192"/>
      <c r="M52" s="192"/>
      <c r="N52" s="192"/>
      <c r="O52" s="192"/>
    </row>
    <row r="53" spans="1:15" ht="36" customHeight="1">
      <c r="A53" s="192"/>
      <c r="B53" s="849"/>
      <c r="C53" s="851" t="s">
        <v>420</v>
      </c>
      <c r="D53" s="839" t="s">
        <v>499</v>
      </c>
      <c r="E53" s="840"/>
      <c r="F53" s="840"/>
      <c r="G53" s="840"/>
      <c r="H53" s="841"/>
      <c r="I53" s="857" t="s">
        <v>500</v>
      </c>
      <c r="J53" s="843"/>
      <c r="K53" s="194" t="s">
        <v>434</v>
      </c>
      <c r="L53" s="192"/>
      <c r="M53" s="192"/>
      <c r="N53" s="192"/>
      <c r="O53" s="192"/>
    </row>
    <row r="54" spans="1:15" ht="58.35" customHeight="1">
      <c r="A54" s="192"/>
      <c r="B54" s="850"/>
      <c r="C54" s="853"/>
      <c r="D54" s="839" t="s">
        <v>501</v>
      </c>
      <c r="E54" s="840"/>
      <c r="F54" s="840"/>
      <c r="G54" s="840"/>
      <c r="H54" s="841"/>
      <c r="I54" s="842" t="s">
        <v>502</v>
      </c>
      <c r="J54" s="843"/>
      <c r="K54" s="194" t="s">
        <v>434</v>
      </c>
      <c r="L54" s="192"/>
      <c r="M54" s="192"/>
      <c r="N54" s="192"/>
      <c r="O54" s="192"/>
    </row>
    <row r="55" spans="1:15" ht="34.5" customHeight="1">
      <c r="A55" s="192"/>
      <c r="B55" s="848" t="s">
        <v>503</v>
      </c>
      <c r="C55" s="29" t="s">
        <v>420</v>
      </c>
      <c r="D55" s="839" t="s">
        <v>504</v>
      </c>
      <c r="E55" s="840"/>
      <c r="F55" s="840"/>
      <c r="G55" s="840"/>
      <c r="H55" s="841"/>
      <c r="I55" s="842" t="s">
        <v>505</v>
      </c>
      <c r="J55" s="843"/>
      <c r="K55" s="30" t="s">
        <v>434</v>
      </c>
      <c r="L55" s="192"/>
      <c r="M55" s="192"/>
      <c r="N55" s="192"/>
      <c r="O55" s="192"/>
    </row>
    <row r="56" spans="1:15" ht="51" customHeight="1">
      <c r="A56" s="192"/>
      <c r="B56" s="850"/>
      <c r="C56" s="29" t="s">
        <v>445</v>
      </c>
      <c r="D56" s="839" t="s">
        <v>506</v>
      </c>
      <c r="E56" s="840"/>
      <c r="F56" s="840"/>
      <c r="G56" s="840"/>
      <c r="H56" s="841"/>
      <c r="I56" s="842" t="s">
        <v>507</v>
      </c>
      <c r="J56" s="843"/>
      <c r="K56" s="194" t="s">
        <v>434</v>
      </c>
      <c r="L56" s="192"/>
      <c r="M56" s="192"/>
      <c r="N56" s="192"/>
      <c r="O56" s="192"/>
    </row>
    <row r="57" spans="1:15">
      <c r="A57" s="168"/>
      <c r="B57" s="196" t="s">
        <v>508</v>
      </c>
      <c r="C57" s="189"/>
      <c r="D57" s="190"/>
      <c r="E57" s="190"/>
      <c r="F57" s="189"/>
      <c r="G57" s="189"/>
      <c r="H57" s="189"/>
      <c r="I57" s="190"/>
      <c r="J57" s="190"/>
      <c r="K57" s="191"/>
      <c r="L57" s="192"/>
      <c r="M57" s="192"/>
      <c r="N57" s="168"/>
      <c r="O57" s="168"/>
    </row>
    <row r="58" spans="1:15" ht="22.5" customHeight="1">
      <c r="A58" s="192"/>
      <c r="B58" s="848" t="s">
        <v>509</v>
      </c>
      <c r="C58" s="851" t="s">
        <v>326</v>
      </c>
      <c r="D58" s="839" t="s">
        <v>510</v>
      </c>
      <c r="E58" s="840"/>
      <c r="F58" s="840"/>
      <c r="G58" s="840"/>
      <c r="H58" s="841"/>
      <c r="I58" s="842" t="s">
        <v>511</v>
      </c>
      <c r="J58" s="843"/>
      <c r="K58" s="30" t="s">
        <v>434</v>
      </c>
      <c r="L58" s="192"/>
      <c r="M58" s="192"/>
      <c r="N58" s="192"/>
      <c r="O58" s="192"/>
    </row>
    <row r="59" spans="1:15" ht="24" customHeight="1">
      <c r="A59" s="192"/>
      <c r="B59" s="849"/>
      <c r="C59" s="852"/>
      <c r="D59" s="839" t="s">
        <v>512</v>
      </c>
      <c r="E59" s="840"/>
      <c r="F59" s="840"/>
      <c r="G59" s="840"/>
      <c r="H59" s="841"/>
      <c r="I59" s="842" t="s">
        <v>513</v>
      </c>
      <c r="J59" s="843"/>
      <c r="K59" s="194" t="s">
        <v>434</v>
      </c>
      <c r="L59" s="192"/>
      <c r="M59" s="192"/>
      <c r="N59" s="192"/>
      <c r="O59" s="192"/>
    </row>
    <row r="60" spans="1:15" ht="27.6" customHeight="1">
      <c r="A60" s="192"/>
      <c r="B60" s="849"/>
      <c r="C60" s="853"/>
      <c r="D60" s="839" t="s">
        <v>514</v>
      </c>
      <c r="E60" s="840"/>
      <c r="F60" s="840"/>
      <c r="G60" s="840"/>
      <c r="H60" s="841"/>
      <c r="I60" s="842" t="s">
        <v>515</v>
      </c>
      <c r="J60" s="843"/>
      <c r="K60" s="30" t="s">
        <v>434</v>
      </c>
      <c r="L60" s="192"/>
      <c r="M60" s="192"/>
      <c r="N60" s="192"/>
      <c r="O60" s="192"/>
    </row>
    <row r="61" spans="1:15" ht="37.35" customHeight="1">
      <c r="A61" s="192"/>
      <c r="B61" s="849"/>
      <c r="C61" s="851" t="s">
        <v>420</v>
      </c>
      <c r="D61" s="854" t="s">
        <v>516</v>
      </c>
      <c r="E61" s="855"/>
      <c r="F61" s="855"/>
      <c r="G61" s="855"/>
      <c r="H61" s="856"/>
      <c r="I61" s="842" t="s">
        <v>517</v>
      </c>
      <c r="J61" s="843"/>
      <c r="K61" s="194" t="s">
        <v>434</v>
      </c>
      <c r="L61" s="192"/>
      <c r="M61" s="192"/>
      <c r="N61" s="192"/>
      <c r="O61" s="192"/>
    </row>
    <row r="62" spans="1:15" ht="81.599999999999994" customHeight="1">
      <c r="A62" s="192"/>
      <c r="B62" s="849"/>
      <c r="C62" s="852"/>
      <c r="D62" s="839" t="s">
        <v>518</v>
      </c>
      <c r="E62" s="840"/>
      <c r="F62" s="840"/>
      <c r="G62" s="840"/>
      <c r="H62" s="841"/>
      <c r="I62" s="842" t="s">
        <v>519</v>
      </c>
      <c r="J62" s="843"/>
      <c r="K62" s="30" t="s">
        <v>434</v>
      </c>
      <c r="L62" s="192"/>
      <c r="M62" s="192"/>
      <c r="N62" s="192"/>
      <c r="O62" s="192"/>
    </row>
    <row r="63" spans="1:15" ht="37.5" customHeight="1">
      <c r="A63" s="192"/>
      <c r="B63" s="850"/>
      <c r="C63" s="853"/>
      <c r="D63" s="839" t="s">
        <v>520</v>
      </c>
      <c r="E63" s="840"/>
      <c r="F63" s="840"/>
      <c r="G63" s="840"/>
      <c r="H63" s="841"/>
      <c r="I63" s="842" t="s">
        <v>521</v>
      </c>
      <c r="J63" s="843"/>
      <c r="K63" s="30" t="s">
        <v>434</v>
      </c>
      <c r="L63" s="192"/>
      <c r="M63" s="192"/>
      <c r="N63" s="192"/>
      <c r="O63" s="192"/>
    </row>
  </sheetData>
  <sheetProtection algorithmName="SHA-512" hashValue="6CzoOpu4TCLRx9IpeSA67kdPYzvcorZhjJnbqaAtN2vg9ZBcSUUFRrd8Sl4/dPHm3zqcOEwgZc34yb+DgAbcGA==" saltValue="uFf+8oDCF/Om1bOtWjvI/g==" spinCount="100000" sheet="1" objects="1" scenarios="1"/>
  <mergeCells count="101">
    <mergeCell ref="B5:J5"/>
    <mergeCell ref="I8:J8"/>
    <mergeCell ref="I10:J10"/>
    <mergeCell ref="B12:B13"/>
    <mergeCell ref="I12:J12"/>
    <mergeCell ref="I13:J13"/>
    <mergeCell ref="B6:J6"/>
    <mergeCell ref="I25:J25"/>
    <mergeCell ref="B27:B28"/>
    <mergeCell ref="D27:H27"/>
    <mergeCell ref="I27:J27"/>
    <mergeCell ref="D28:H28"/>
    <mergeCell ref="I28:J28"/>
    <mergeCell ref="I15:J15"/>
    <mergeCell ref="I16:J16"/>
    <mergeCell ref="I17:J17"/>
    <mergeCell ref="D25:H25"/>
    <mergeCell ref="B18:B19"/>
    <mergeCell ref="I18:J18"/>
    <mergeCell ref="I19:J19"/>
    <mergeCell ref="I33:J33"/>
    <mergeCell ref="B29:B30"/>
    <mergeCell ref="D29:H29"/>
    <mergeCell ref="I29:J29"/>
    <mergeCell ref="D30:H30"/>
    <mergeCell ref="I30:J30"/>
    <mergeCell ref="B32:B40"/>
    <mergeCell ref="D32:H32"/>
    <mergeCell ref="I32:J32"/>
    <mergeCell ref="C33:C37"/>
    <mergeCell ref="D33:H33"/>
    <mergeCell ref="D37:H37"/>
    <mergeCell ref="D34:H34"/>
    <mergeCell ref="I34:J34"/>
    <mergeCell ref="D35:H35"/>
    <mergeCell ref="I35:J35"/>
    <mergeCell ref="D36:H36"/>
    <mergeCell ref="I36:J36"/>
    <mergeCell ref="B41:B43"/>
    <mergeCell ref="D41:H41"/>
    <mergeCell ref="I41:J41"/>
    <mergeCell ref="D42:H42"/>
    <mergeCell ref="I42:J42"/>
    <mergeCell ref="D43:H43"/>
    <mergeCell ref="I43:J43"/>
    <mergeCell ref="I37:J37"/>
    <mergeCell ref="C38:C40"/>
    <mergeCell ref="D38:H38"/>
    <mergeCell ref="I38:J38"/>
    <mergeCell ref="D39:H39"/>
    <mergeCell ref="I39:J39"/>
    <mergeCell ref="D40:H40"/>
    <mergeCell ref="I40:J40"/>
    <mergeCell ref="B2:J2"/>
    <mergeCell ref="B3:J4"/>
    <mergeCell ref="I61:J61"/>
    <mergeCell ref="D62:H62"/>
    <mergeCell ref="I62:J62"/>
    <mergeCell ref="D54:H54"/>
    <mergeCell ref="I54:J54"/>
    <mergeCell ref="B55:B56"/>
    <mergeCell ref="B45:B48"/>
    <mergeCell ref="C45:C46"/>
    <mergeCell ref="D45:H45"/>
    <mergeCell ref="I45:J45"/>
    <mergeCell ref="D46:H46"/>
    <mergeCell ref="I46:J46"/>
    <mergeCell ref="C47:C48"/>
    <mergeCell ref="D47:H47"/>
    <mergeCell ref="D55:H55"/>
    <mergeCell ref="I55:J55"/>
    <mergeCell ref="D56:H56"/>
    <mergeCell ref="I56:J56"/>
    <mergeCell ref="I48:J48"/>
    <mergeCell ref="I47:J47"/>
    <mergeCell ref="D48:H48"/>
    <mergeCell ref="B50:B54"/>
    <mergeCell ref="D63:H63"/>
    <mergeCell ref="I63:J63"/>
    <mergeCell ref="B20:J22"/>
    <mergeCell ref="C23:J24"/>
    <mergeCell ref="B23:B24"/>
    <mergeCell ref="B58:B63"/>
    <mergeCell ref="C58:C60"/>
    <mergeCell ref="D58:H58"/>
    <mergeCell ref="I58:J58"/>
    <mergeCell ref="D59:H59"/>
    <mergeCell ref="I59:J59"/>
    <mergeCell ref="D60:H60"/>
    <mergeCell ref="I60:J60"/>
    <mergeCell ref="C61:C63"/>
    <mergeCell ref="D61:H61"/>
    <mergeCell ref="I53:J53"/>
    <mergeCell ref="D50:H50"/>
    <mergeCell ref="I50:J50"/>
    <mergeCell ref="D51:H51"/>
    <mergeCell ref="I51:J51"/>
    <mergeCell ref="D52:H52"/>
    <mergeCell ref="I52:J52"/>
    <mergeCell ref="C53:C54"/>
    <mergeCell ref="D53:H53"/>
  </mergeCells>
  <hyperlinks>
    <hyperlink ref="A1" location="'Data Pack Overview'!A1" display="H" xr:uid="{41E9A290-8EBE-4B92-BB22-BC88846779BE}"/>
  </hyperlink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AC97F-DCE2-4F52-8F6B-1B373CEBC0C4}">
  <sheetPr>
    <tabColor rgb="FF92D050"/>
  </sheetPr>
  <dimension ref="A1:T134"/>
  <sheetViews>
    <sheetView showGridLines="0" zoomScale="110" zoomScaleNormal="110" workbookViewId="0">
      <selection activeCell="C2" sqref="C2"/>
    </sheetView>
  </sheetViews>
  <sheetFormatPr defaultRowHeight="14.4"/>
  <cols>
    <col min="1" max="1" width="2.5546875" customWidth="1"/>
    <col min="2" max="2" width="50.6640625" customWidth="1"/>
    <col min="3" max="3" width="10.88671875" customWidth="1"/>
    <col min="4" max="7" width="13.33203125" customWidth="1"/>
    <col min="8" max="8" width="12.33203125" hidden="1" customWidth="1"/>
    <col min="9" max="9" width="4.109375" hidden="1" customWidth="1"/>
    <col min="10" max="10" width="3.6640625" hidden="1" customWidth="1"/>
    <col min="11" max="11" width="3" hidden="1" customWidth="1"/>
    <col min="12" max="12" width="15.6640625" customWidth="1"/>
    <col min="13" max="13" width="49.44140625" customWidth="1"/>
  </cols>
  <sheetData>
    <row r="1" spans="1:17">
      <c r="A1" s="426" t="s">
        <v>32</v>
      </c>
      <c r="B1" s="38"/>
      <c r="C1" s="38"/>
      <c r="D1" s="38"/>
      <c r="E1" s="217"/>
      <c r="F1" s="217"/>
      <c r="G1" s="38"/>
      <c r="H1" s="38"/>
      <c r="I1" s="38"/>
      <c r="J1" s="38"/>
      <c r="K1" s="38"/>
      <c r="L1" s="38"/>
    </row>
    <row r="2" spans="1:17" ht="21">
      <c r="A2" s="38"/>
      <c r="B2" s="39" t="s">
        <v>522</v>
      </c>
      <c r="C2" s="39"/>
      <c r="D2" s="39"/>
      <c r="E2" s="217"/>
      <c r="F2" s="217"/>
      <c r="G2" s="38"/>
      <c r="H2" s="38"/>
      <c r="I2" s="38"/>
      <c r="J2" s="38"/>
      <c r="K2" s="38"/>
      <c r="L2" s="668"/>
    </row>
    <row r="3" spans="1:17" ht="21">
      <c r="A3" s="38"/>
      <c r="B3" s="39"/>
      <c r="C3" s="39"/>
      <c r="D3" s="39"/>
      <c r="E3" s="217"/>
      <c r="F3" s="217"/>
      <c r="G3" s="38"/>
      <c r="H3" s="38"/>
      <c r="I3" s="38"/>
      <c r="J3" s="38"/>
      <c r="K3" s="38"/>
      <c r="L3" s="668"/>
    </row>
    <row r="4" spans="1:17" ht="18">
      <c r="A4" s="38"/>
      <c r="B4" s="81" t="s">
        <v>523</v>
      </c>
      <c r="C4" s="81"/>
      <c r="D4" s="81"/>
      <c r="E4" s="669"/>
      <c r="F4" s="669"/>
      <c r="G4" s="77"/>
      <c r="H4" s="77"/>
      <c r="I4" s="77"/>
      <c r="J4" s="77"/>
      <c r="K4" s="38"/>
      <c r="L4" s="38"/>
      <c r="M4" s="753" t="s">
        <v>524</v>
      </c>
    </row>
    <row r="5" spans="1:17">
      <c r="A5" s="38"/>
      <c r="B5" s="218"/>
      <c r="C5" s="758"/>
      <c r="D5" s="748"/>
      <c r="E5" s="748"/>
      <c r="F5" s="748"/>
      <c r="G5" s="748"/>
      <c r="H5" s="77"/>
      <c r="I5" s="77"/>
      <c r="J5" s="77"/>
      <c r="K5" s="38"/>
    </row>
    <row r="6" spans="1:17" ht="20.399999999999999">
      <c r="A6" s="38"/>
      <c r="B6" s="62"/>
      <c r="C6" s="62" t="s">
        <v>39</v>
      </c>
      <c r="D6" s="62" t="s">
        <v>40</v>
      </c>
      <c r="E6" s="62" t="s">
        <v>41</v>
      </c>
      <c r="F6" s="62" t="s">
        <v>42</v>
      </c>
      <c r="G6" s="62" t="s">
        <v>43</v>
      </c>
      <c r="H6" s="62" t="s">
        <v>96</v>
      </c>
      <c r="I6" s="62" t="s">
        <v>253</v>
      </c>
      <c r="J6" s="62" t="s">
        <v>254</v>
      </c>
      <c r="K6" s="38"/>
      <c r="M6" s="740"/>
      <c r="N6" s="740" t="s">
        <v>40</v>
      </c>
      <c r="O6" s="740" t="s">
        <v>41</v>
      </c>
      <c r="P6" s="740" t="s">
        <v>42</v>
      </c>
      <c r="Q6" s="740" t="s">
        <v>43</v>
      </c>
    </row>
    <row r="7" spans="1:17">
      <c r="A7" s="38"/>
      <c r="B7" s="52" t="s">
        <v>525</v>
      </c>
      <c r="C7" s="68">
        <v>3041</v>
      </c>
      <c r="D7" s="68" t="s">
        <v>526</v>
      </c>
      <c r="E7" s="50">
        <v>22402</v>
      </c>
      <c r="F7" s="50">
        <v>21028</v>
      </c>
      <c r="G7" s="219">
        <v>24230</v>
      </c>
      <c r="H7" s="219">
        <v>25453</v>
      </c>
      <c r="I7" s="219">
        <v>26884</v>
      </c>
      <c r="J7" s="219">
        <v>35036</v>
      </c>
      <c r="K7" s="38"/>
      <c r="M7" s="52" t="s">
        <v>525</v>
      </c>
      <c r="N7" s="68" t="s">
        <v>526</v>
      </c>
      <c r="O7" s="50">
        <v>22402</v>
      </c>
      <c r="P7" s="50">
        <v>21028</v>
      </c>
      <c r="Q7" s="219">
        <v>24230</v>
      </c>
    </row>
    <row r="8" spans="1:17">
      <c r="A8" s="38"/>
      <c r="B8" s="52" t="s">
        <v>527</v>
      </c>
      <c r="C8" s="68">
        <v>36225</v>
      </c>
      <c r="D8" s="68" t="s">
        <v>528</v>
      </c>
      <c r="E8" s="68" t="s">
        <v>529</v>
      </c>
      <c r="F8" s="68" t="s">
        <v>530</v>
      </c>
      <c r="G8" s="68" t="s">
        <v>531</v>
      </c>
      <c r="H8" s="50">
        <f t="shared" ref="H8:J8" si="0">H50</f>
        <v>82592</v>
      </c>
      <c r="I8" s="50">
        <f t="shared" si="0"/>
        <v>87858</v>
      </c>
      <c r="J8" s="50">
        <f t="shared" si="0"/>
        <v>89880</v>
      </c>
      <c r="K8" s="38"/>
      <c r="M8" s="52" t="s">
        <v>527</v>
      </c>
      <c r="N8" s="68">
        <v>44707</v>
      </c>
      <c r="O8" s="50">
        <v>46195.136190000005</v>
      </c>
      <c r="P8" s="50">
        <v>53750.548719999999</v>
      </c>
      <c r="Q8" s="50">
        <v>70545</v>
      </c>
    </row>
    <row r="9" spans="1:17">
      <c r="A9" s="38"/>
      <c r="B9" s="220" t="s">
        <v>532</v>
      </c>
      <c r="C9" s="670">
        <f>SUM(C7:C8)</f>
        <v>39266</v>
      </c>
      <c r="D9" s="670">
        <f>SUM(3902,45990)</f>
        <v>49892</v>
      </c>
      <c r="E9" s="670">
        <f>SUM(E7,49172)</f>
        <v>71574</v>
      </c>
      <c r="F9" s="670">
        <f>SUM(F7,54466)</f>
        <v>75494</v>
      </c>
      <c r="G9" s="670">
        <f>SUM(G7,70648)</f>
        <v>94878</v>
      </c>
      <c r="H9" s="670">
        <f t="shared" ref="H9:J9" si="1">SUM(H7:H8)</f>
        <v>108045</v>
      </c>
      <c r="I9" s="670">
        <f t="shared" si="1"/>
        <v>114742</v>
      </c>
      <c r="J9" s="670">
        <f t="shared" si="1"/>
        <v>124916</v>
      </c>
      <c r="K9" s="38"/>
      <c r="M9" s="220" t="s">
        <v>532</v>
      </c>
      <c r="N9" s="670">
        <v>48609</v>
      </c>
      <c r="O9" s="670">
        <v>68597.136190000005</v>
      </c>
      <c r="P9" s="670">
        <v>74778.548719999992</v>
      </c>
      <c r="Q9" s="670">
        <v>94775</v>
      </c>
    </row>
    <row r="10" spans="1:17">
      <c r="A10" s="38"/>
      <c r="B10" s="671"/>
      <c r="C10" s="671"/>
      <c r="D10" s="671"/>
      <c r="E10" s="672"/>
      <c r="F10" s="672"/>
      <c r="G10" s="672"/>
      <c r="H10" s="672"/>
      <c r="I10" s="672"/>
      <c r="J10" s="672"/>
      <c r="K10" s="38"/>
    </row>
    <row r="11" spans="1:17" ht="30.75" customHeight="1">
      <c r="A11" s="38"/>
      <c r="B11" s="881" t="s">
        <v>533</v>
      </c>
      <c r="C11" s="881"/>
      <c r="D11" s="881"/>
      <c r="E11" s="881"/>
      <c r="F11" s="881"/>
      <c r="G11" s="881"/>
      <c r="H11" s="881"/>
      <c r="I11" s="881"/>
      <c r="J11" s="881"/>
      <c r="K11" s="38"/>
    </row>
    <row r="12" spans="1:17">
      <c r="A12" s="38"/>
      <c r="B12" s="66" t="s">
        <v>534</v>
      </c>
      <c r="C12" s="66"/>
      <c r="D12" s="672"/>
      <c r="E12" s="672"/>
      <c r="F12" s="672"/>
      <c r="G12" s="672"/>
      <c r="H12" s="672"/>
      <c r="I12" s="672"/>
      <c r="J12" s="672"/>
      <c r="K12" s="38"/>
      <c r="L12" s="38"/>
    </row>
    <row r="13" spans="1:17" ht="49.2" customHeight="1">
      <c r="A13" s="38"/>
      <c r="B13" s="884" t="s">
        <v>535</v>
      </c>
      <c r="C13" s="884"/>
      <c r="D13" s="884"/>
      <c r="E13" s="884"/>
      <c r="F13" s="884"/>
      <c r="G13" s="884"/>
      <c r="H13" s="672"/>
      <c r="I13" s="672"/>
      <c r="J13" s="672"/>
      <c r="K13" s="38"/>
      <c r="L13" s="38"/>
    </row>
    <row r="14" spans="1:17">
      <c r="A14" s="38"/>
      <c r="B14" s="671"/>
      <c r="C14" s="671"/>
      <c r="D14" s="673"/>
      <c r="E14" s="674"/>
      <c r="F14" s="674"/>
      <c r="G14" s="207"/>
      <c r="H14" s="207"/>
      <c r="I14" s="207"/>
      <c r="J14" s="207"/>
      <c r="K14" s="38"/>
      <c r="L14" s="48"/>
    </row>
    <row r="15" spans="1:17" ht="18">
      <c r="A15" s="38"/>
      <c r="B15" s="81" t="s">
        <v>536</v>
      </c>
      <c r="C15" s="81"/>
      <c r="D15" s="81"/>
      <c r="E15" s="217"/>
      <c r="F15" s="217"/>
      <c r="G15" s="38"/>
      <c r="H15" s="38"/>
      <c r="I15" s="38"/>
      <c r="J15" s="38"/>
      <c r="K15" s="38"/>
      <c r="L15" s="48"/>
    </row>
    <row r="16" spans="1:17">
      <c r="A16" s="38"/>
      <c r="B16" s="218"/>
      <c r="C16" s="218"/>
      <c r="D16" s="218"/>
      <c r="E16" s="669"/>
      <c r="F16" s="669"/>
      <c r="G16" s="77"/>
      <c r="H16" s="77"/>
      <c r="I16" s="77"/>
      <c r="J16" s="77"/>
      <c r="K16" s="38"/>
      <c r="L16" s="38"/>
    </row>
    <row r="17" spans="1:17" ht="20.399999999999999">
      <c r="A17" s="88"/>
      <c r="B17" s="62"/>
      <c r="C17" s="62" t="s">
        <v>39</v>
      </c>
      <c r="D17" s="62" t="s">
        <v>40</v>
      </c>
      <c r="E17" s="62" t="s">
        <v>41</v>
      </c>
      <c r="F17" s="62" t="s">
        <v>42</v>
      </c>
      <c r="G17" s="62" t="s">
        <v>43</v>
      </c>
      <c r="H17" s="62" t="s">
        <v>96</v>
      </c>
      <c r="I17" s="62" t="s">
        <v>253</v>
      </c>
      <c r="J17" s="62" t="s">
        <v>254</v>
      </c>
      <c r="K17" s="88"/>
      <c r="L17" s="88"/>
      <c r="M17" s="751" t="s">
        <v>537</v>
      </c>
      <c r="N17" s="751"/>
      <c r="O17" s="751"/>
      <c r="P17" s="751"/>
      <c r="Q17" s="751"/>
    </row>
    <row r="18" spans="1:17">
      <c r="A18" s="88"/>
      <c r="B18" s="475" t="s">
        <v>538</v>
      </c>
      <c r="C18" s="68">
        <v>1043.18</v>
      </c>
      <c r="D18" s="68">
        <f>(558774.15+201338.7)/1000</f>
        <v>760.11285000000009</v>
      </c>
      <c r="E18" s="68">
        <v>1028</v>
      </c>
      <c r="F18" s="150">
        <v>1178.82</v>
      </c>
      <c r="G18" s="150">
        <v>1231</v>
      </c>
      <c r="H18" s="50">
        <v>1160</v>
      </c>
      <c r="I18" s="50">
        <v>1010</v>
      </c>
      <c r="J18" s="50">
        <v>1080</v>
      </c>
      <c r="K18" s="88"/>
      <c r="L18" s="675"/>
      <c r="M18" s="751"/>
      <c r="N18" s="751"/>
      <c r="O18" s="751"/>
      <c r="P18" s="751"/>
      <c r="Q18" s="751"/>
    </row>
    <row r="19" spans="1:17">
      <c r="A19" s="88"/>
      <c r="B19" s="201" t="s">
        <v>539</v>
      </c>
      <c r="C19" s="68">
        <v>0</v>
      </c>
      <c r="D19" s="68">
        <v>0</v>
      </c>
      <c r="E19" s="83">
        <v>0</v>
      </c>
      <c r="F19" s="68" t="s">
        <v>540</v>
      </c>
      <c r="G19" s="83" t="s">
        <v>541</v>
      </c>
      <c r="H19" s="51" t="s">
        <v>541</v>
      </c>
      <c r="I19" s="51" t="s">
        <v>541</v>
      </c>
      <c r="J19" s="51" t="s">
        <v>542</v>
      </c>
      <c r="K19" s="88"/>
      <c r="L19" s="103"/>
      <c r="M19" s="751"/>
      <c r="N19" s="751"/>
      <c r="O19" s="751"/>
      <c r="P19" s="751"/>
      <c r="Q19" s="751"/>
    </row>
    <row r="20" spans="1:17">
      <c r="A20" s="88"/>
      <c r="B20" s="201" t="s">
        <v>543</v>
      </c>
      <c r="C20" s="68">
        <v>559</v>
      </c>
      <c r="D20" s="68">
        <v>512.32000000000005</v>
      </c>
      <c r="E20" s="68">
        <v>597</v>
      </c>
      <c r="F20" s="68">
        <v>1268.69</v>
      </c>
      <c r="G20" s="68">
        <v>1477</v>
      </c>
      <c r="H20" s="50">
        <v>1487</v>
      </c>
      <c r="I20" s="50">
        <v>1451</v>
      </c>
      <c r="J20" s="222">
        <v>398</v>
      </c>
      <c r="K20" s="88"/>
      <c r="L20" s="221"/>
      <c r="M20" s="751"/>
      <c r="N20" s="751"/>
      <c r="O20" s="751"/>
      <c r="P20" s="751"/>
      <c r="Q20" s="751"/>
    </row>
    <row r="21" spans="1:17">
      <c r="A21" s="88"/>
      <c r="B21" s="201" t="s">
        <v>544</v>
      </c>
      <c r="C21" s="68">
        <v>39.74</v>
      </c>
      <c r="D21" s="68">
        <f>31592.98/1000</f>
        <v>31.592980000000001</v>
      </c>
      <c r="E21" s="462">
        <v>34.817639999999997</v>
      </c>
      <c r="F21" s="68">
        <v>52.09</v>
      </c>
      <c r="G21" s="83">
        <v>86</v>
      </c>
      <c r="H21" s="51">
        <v>88</v>
      </c>
      <c r="I21" s="51">
        <v>84</v>
      </c>
      <c r="J21" s="51">
        <v>86</v>
      </c>
      <c r="K21" s="88"/>
      <c r="L21" s="103"/>
      <c r="M21" s="751"/>
      <c r="N21" s="751"/>
      <c r="O21" s="751"/>
      <c r="P21" s="751"/>
      <c r="Q21" s="751"/>
    </row>
    <row r="22" spans="1:17">
      <c r="A22" s="88"/>
      <c r="B22" s="246" t="s">
        <v>545</v>
      </c>
      <c r="C22" s="68">
        <v>1285.6400000000001</v>
      </c>
      <c r="D22" s="68">
        <f>1786907.76/1000</f>
        <v>1786.9077600000001</v>
      </c>
      <c r="E22" s="68">
        <v>2533</v>
      </c>
      <c r="F22" s="68">
        <v>2655.43</v>
      </c>
      <c r="G22" s="68">
        <v>1149</v>
      </c>
      <c r="H22" s="50">
        <v>3203</v>
      </c>
      <c r="I22" s="50">
        <v>3224</v>
      </c>
      <c r="J22" s="50">
        <v>3091</v>
      </c>
      <c r="K22" s="88"/>
      <c r="L22" s="214"/>
      <c r="M22" s="751"/>
      <c r="N22" s="751"/>
      <c r="O22" s="751"/>
      <c r="P22" s="751"/>
      <c r="Q22" s="751"/>
    </row>
    <row r="23" spans="1:17">
      <c r="A23" s="88"/>
      <c r="B23" s="475" t="s">
        <v>546</v>
      </c>
      <c r="C23" s="68">
        <v>15.94</v>
      </c>
      <c r="D23" s="68">
        <f>12857/1000</f>
        <v>12.856999999999999</v>
      </c>
      <c r="E23" s="462">
        <v>104.47401000000001</v>
      </c>
      <c r="F23" s="68">
        <v>117.95</v>
      </c>
      <c r="G23" s="83">
        <v>100</v>
      </c>
      <c r="H23" s="676">
        <v>69</v>
      </c>
      <c r="I23" s="676">
        <v>52</v>
      </c>
      <c r="J23" s="676">
        <v>10</v>
      </c>
      <c r="K23" s="88"/>
      <c r="L23" s="608"/>
      <c r="M23" s="751"/>
      <c r="N23" s="751"/>
      <c r="O23" s="751"/>
      <c r="P23" s="751"/>
      <c r="Q23" s="751"/>
    </row>
    <row r="24" spans="1:17">
      <c r="A24" s="88"/>
      <c r="B24" s="475" t="s">
        <v>547</v>
      </c>
      <c r="C24" s="68" t="s">
        <v>548</v>
      </c>
      <c r="D24" s="83" t="s">
        <v>548</v>
      </c>
      <c r="E24" s="68">
        <v>17402.301469999999</v>
      </c>
      <c r="F24" s="68">
        <v>15092.42</v>
      </c>
      <c r="G24" s="68">
        <v>19498</v>
      </c>
      <c r="H24" s="677">
        <v>18666</v>
      </c>
      <c r="I24" s="677">
        <v>20278</v>
      </c>
      <c r="J24" s="677">
        <v>29525</v>
      </c>
      <c r="K24" s="88"/>
      <c r="L24" s="608"/>
      <c r="M24" s="751"/>
      <c r="N24" s="751"/>
      <c r="O24" s="751"/>
      <c r="P24" s="751"/>
      <c r="Q24" s="751"/>
    </row>
    <row r="25" spans="1:17">
      <c r="A25" s="88"/>
      <c r="B25" s="246" t="s">
        <v>549</v>
      </c>
      <c r="C25" s="150">
        <v>6.47</v>
      </c>
      <c r="D25" s="68">
        <f>(13652.32+670994.92)/1000</f>
        <v>684.64724000000001</v>
      </c>
      <c r="E25" s="83">
        <v>702</v>
      </c>
      <c r="F25" s="68">
        <v>662.98</v>
      </c>
      <c r="G25" s="83">
        <v>688</v>
      </c>
      <c r="H25" s="83">
        <v>780</v>
      </c>
      <c r="I25" s="83">
        <v>745</v>
      </c>
      <c r="J25" s="83">
        <v>487</v>
      </c>
      <c r="K25" s="88"/>
      <c r="L25" s="103"/>
      <c r="M25" s="751"/>
      <c r="N25" s="751"/>
      <c r="O25" s="751"/>
      <c r="P25" s="751"/>
      <c r="Q25" s="751"/>
    </row>
    <row r="26" spans="1:17">
      <c r="A26" s="88"/>
      <c r="B26" s="201" t="s">
        <v>550</v>
      </c>
      <c r="C26" s="678"/>
      <c r="D26" s="678"/>
      <c r="E26" s="678"/>
      <c r="F26" s="678"/>
      <c r="G26" s="678"/>
      <c r="H26" s="679"/>
      <c r="I26" s="676">
        <v>393</v>
      </c>
      <c r="J26" s="676">
        <v>360</v>
      </c>
      <c r="K26" s="88"/>
      <c r="L26" s="103"/>
      <c r="M26" s="751"/>
      <c r="N26" s="751"/>
      <c r="O26" s="751"/>
      <c r="P26" s="751"/>
      <c r="Q26" s="751"/>
    </row>
    <row r="27" spans="1:17">
      <c r="A27" s="88"/>
      <c r="B27" s="52" t="s">
        <v>551</v>
      </c>
      <c r="C27" s="631">
        <f>7.35</f>
        <v>7.35</v>
      </c>
      <c r="D27" s="68">
        <f>38171.42/1000</f>
        <v>38.171419999999998</v>
      </c>
      <c r="E27" s="678"/>
      <c r="F27" s="678"/>
      <c r="G27" s="678"/>
      <c r="H27" s="678"/>
      <c r="I27" s="678"/>
      <c r="J27" s="678"/>
      <c r="K27" s="88"/>
      <c r="L27" s="103"/>
      <c r="M27" s="751"/>
      <c r="N27" s="751"/>
      <c r="O27" s="751"/>
      <c r="P27" s="751"/>
      <c r="Q27" s="751"/>
    </row>
    <row r="28" spans="1:17">
      <c r="A28" s="88"/>
      <c r="B28" s="52" t="s">
        <v>552</v>
      </c>
      <c r="C28" s="219">
        <f>83.55</f>
        <v>83.55</v>
      </c>
      <c r="D28" s="68">
        <v>75.209999999999994</v>
      </c>
      <c r="E28" s="678"/>
      <c r="F28" s="678"/>
      <c r="G28" s="678"/>
      <c r="H28" s="678"/>
      <c r="I28" s="678"/>
      <c r="J28" s="678"/>
      <c r="K28" s="88"/>
      <c r="L28" s="103"/>
      <c r="M28" s="751"/>
      <c r="N28" s="751"/>
      <c r="O28" s="751"/>
      <c r="P28" s="751"/>
      <c r="Q28" s="751"/>
    </row>
    <row r="29" spans="1:17">
      <c r="A29" s="88"/>
      <c r="B29" s="220" t="s">
        <v>553</v>
      </c>
      <c r="C29" s="670">
        <f>SUM(C18:C28)</f>
        <v>3040.8700000000003</v>
      </c>
      <c r="D29" s="670">
        <f>SUM(D18:D28)</f>
        <v>3901.81925</v>
      </c>
      <c r="E29" s="670">
        <f>SUM(E18:E28)</f>
        <v>22401.593119999998</v>
      </c>
      <c r="F29" s="670">
        <f>SUM(F18:F28)</f>
        <v>21028.38</v>
      </c>
      <c r="G29" s="670">
        <f>SUM(G18:G28)+1231</f>
        <v>25460</v>
      </c>
      <c r="H29" s="670">
        <f>SUM(H18:H28)</f>
        <v>25453</v>
      </c>
      <c r="I29" s="670">
        <f>SUM(I18:I28)</f>
        <v>27237</v>
      </c>
      <c r="J29" s="670">
        <f>SUM(J18:J28)</f>
        <v>35037</v>
      </c>
      <c r="K29" s="88"/>
      <c r="L29" s="221"/>
      <c r="M29" s="751"/>
      <c r="N29" s="751"/>
      <c r="O29" s="751"/>
      <c r="P29" s="751"/>
      <c r="Q29" s="751"/>
    </row>
    <row r="30" spans="1:17">
      <c r="A30" s="38"/>
      <c r="B30" s="671"/>
      <c r="C30" s="671"/>
      <c r="D30" s="671"/>
      <c r="E30" s="674"/>
      <c r="F30" s="674"/>
      <c r="G30" s="207"/>
      <c r="H30" s="207"/>
      <c r="I30" s="207"/>
      <c r="J30" s="207"/>
      <c r="K30" s="38"/>
      <c r="L30" s="609"/>
    </row>
    <row r="31" spans="1:17">
      <c r="A31" s="38"/>
      <c r="B31" s="826" t="s">
        <v>554</v>
      </c>
      <c r="C31" s="826"/>
      <c r="D31" s="826"/>
      <c r="E31" s="826"/>
      <c r="F31" s="826"/>
      <c r="G31" s="826"/>
      <c r="H31" s="826"/>
      <c r="I31" s="826"/>
      <c r="J31" s="826"/>
      <c r="K31" s="38"/>
      <c r="L31" s="48"/>
    </row>
    <row r="32" spans="1:17" ht="33.6" customHeight="1">
      <c r="A32" s="38"/>
      <c r="B32" s="881" t="s">
        <v>555</v>
      </c>
      <c r="C32" s="881"/>
      <c r="D32" s="881"/>
      <c r="E32" s="881"/>
      <c r="F32" s="881"/>
      <c r="G32" s="881"/>
      <c r="H32" s="881"/>
      <c r="I32" s="881"/>
      <c r="J32" s="881"/>
      <c r="K32" s="38"/>
      <c r="L32" s="680"/>
    </row>
    <row r="33" spans="1:17" ht="15" customHeight="1">
      <c r="A33" s="38"/>
      <c r="B33" s="881" t="s">
        <v>556</v>
      </c>
      <c r="C33" s="881"/>
      <c r="D33" s="881"/>
      <c r="E33" s="881"/>
      <c r="F33" s="881"/>
      <c r="G33" s="881"/>
      <c r="H33" s="624"/>
      <c r="I33" s="624"/>
      <c r="J33" s="624"/>
      <c r="K33" s="38"/>
      <c r="L33" s="680"/>
    </row>
    <row r="34" spans="1:17">
      <c r="A34" s="38"/>
      <c r="B34" s="66" t="s">
        <v>557</v>
      </c>
      <c r="C34" s="66"/>
      <c r="D34" s="38"/>
      <c r="E34" s="217"/>
      <c r="F34" s="217"/>
      <c r="G34" s="38"/>
      <c r="H34" s="38"/>
      <c r="I34" s="38"/>
      <c r="J34" s="38"/>
      <c r="K34" s="38"/>
      <c r="L34" s="680"/>
    </row>
    <row r="35" spans="1:17">
      <c r="A35" s="38"/>
      <c r="B35" s="66"/>
      <c r="C35" s="66"/>
      <c r="D35" s="38"/>
      <c r="E35" s="217"/>
      <c r="F35" s="217"/>
      <c r="G35" s="38"/>
      <c r="H35" s="38"/>
      <c r="I35" s="38"/>
      <c r="J35" s="38"/>
      <c r="K35" s="38"/>
      <c r="L35" s="680"/>
    </row>
    <row r="36" spans="1:17" ht="18">
      <c r="A36" s="38"/>
      <c r="B36" s="81" t="s">
        <v>558</v>
      </c>
      <c r="C36" s="749"/>
      <c r="D36" s="749"/>
      <c r="E36" s="749"/>
      <c r="F36" s="749"/>
      <c r="G36" s="749"/>
      <c r="H36" s="38"/>
      <c r="I36" s="38"/>
      <c r="J36" s="38"/>
      <c r="K36" s="38"/>
      <c r="L36" s="38"/>
      <c r="M36" s="753" t="s">
        <v>559</v>
      </c>
      <c r="N36" s="81"/>
    </row>
    <row r="37" spans="1:17">
      <c r="A37" s="38"/>
      <c r="B37" s="218"/>
      <c r="C37" s="218"/>
      <c r="D37" s="747"/>
      <c r="E37" s="747"/>
      <c r="F37" s="747"/>
      <c r="G37" s="747"/>
      <c r="H37" s="77"/>
      <c r="I37" s="77"/>
      <c r="J37" s="77"/>
      <c r="K37" s="38"/>
      <c r="L37" s="38"/>
      <c r="M37" s="218"/>
      <c r="N37" s="218"/>
      <c r="O37" s="669"/>
      <c r="P37" s="669"/>
      <c r="Q37" s="77"/>
    </row>
    <row r="38" spans="1:17" ht="20.399999999999999">
      <c r="A38" s="38"/>
      <c r="B38" s="43"/>
      <c r="C38" s="62" t="s">
        <v>39</v>
      </c>
      <c r="D38" s="62" t="s">
        <v>40</v>
      </c>
      <c r="E38" s="62" t="s">
        <v>41</v>
      </c>
      <c r="F38" s="62" t="s">
        <v>42</v>
      </c>
      <c r="G38" s="62" t="s">
        <v>43</v>
      </c>
      <c r="H38" s="43" t="s">
        <v>96</v>
      </c>
      <c r="I38" s="43" t="s">
        <v>253</v>
      </c>
      <c r="J38" s="43" t="s">
        <v>254</v>
      </c>
      <c r="K38" s="38"/>
      <c r="L38" s="38"/>
      <c r="M38" s="740"/>
      <c r="N38" s="740" t="s">
        <v>40</v>
      </c>
      <c r="O38" s="740" t="s">
        <v>41</v>
      </c>
      <c r="P38" s="740" t="s">
        <v>42</v>
      </c>
      <c r="Q38" s="740" t="s">
        <v>43</v>
      </c>
    </row>
    <row r="39" spans="1:17">
      <c r="A39" s="38"/>
      <c r="B39" s="885" t="s">
        <v>560</v>
      </c>
      <c r="C39" s="885"/>
      <c r="D39" s="885"/>
      <c r="E39" s="885"/>
      <c r="F39" s="885"/>
      <c r="G39" s="885"/>
      <c r="H39" s="93"/>
      <c r="I39" s="93"/>
      <c r="J39" s="681"/>
      <c r="K39" s="38"/>
      <c r="L39" s="38"/>
      <c r="M39" s="92" t="s">
        <v>560</v>
      </c>
      <c r="N39" s="93"/>
      <c r="O39" s="93"/>
      <c r="P39" s="93"/>
      <c r="Q39" s="93"/>
    </row>
    <row r="40" spans="1:17">
      <c r="A40" s="38"/>
      <c r="B40" s="630" t="s">
        <v>561</v>
      </c>
      <c r="C40" s="204">
        <v>875</v>
      </c>
      <c r="D40" s="204">
        <v>808</v>
      </c>
      <c r="E40" s="204">
        <v>992</v>
      </c>
      <c r="F40" s="204">
        <v>1145</v>
      </c>
      <c r="G40" s="204">
        <v>1409</v>
      </c>
      <c r="H40" s="47">
        <v>1421</v>
      </c>
      <c r="I40" s="47">
        <v>1418</v>
      </c>
      <c r="J40" s="47">
        <v>1353</v>
      </c>
      <c r="K40" s="38"/>
      <c r="L40" s="38"/>
      <c r="M40" s="162" t="s">
        <v>561</v>
      </c>
      <c r="N40" s="204">
        <v>727.76188000000002</v>
      </c>
      <c r="O40" s="743">
        <v>906.80135999999993</v>
      </c>
      <c r="P40" s="47">
        <v>1114</v>
      </c>
      <c r="Q40" s="47">
        <v>1409</v>
      </c>
    </row>
    <row r="41" spans="1:17">
      <c r="A41" s="38"/>
      <c r="B41" s="201" t="s">
        <v>562</v>
      </c>
      <c r="C41" s="204">
        <v>9487</v>
      </c>
      <c r="D41" s="204">
        <f>(5657580.72+3665570.34)/1000</f>
        <v>9323.1510599999983</v>
      </c>
      <c r="E41" s="204">
        <v>11576</v>
      </c>
      <c r="F41" s="204">
        <v>13072</v>
      </c>
      <c r="G41" s="204">
        <v>16513</v>
      </c>
      <c r="H41" s="50">
        <v>17603</v>
      </c>
      <c r="I41" s="50">
        <v>18350</v>
      </c>
      <c r="J41" s="50">
        <v>19657</v>
      </c>
      <c r="K41" s="38"/>
      <c r="L41" s="651"/>
      <c r="M41" s="57" t="s">
        <v>563</v>
      </c>
      <c r="N41" s="204">
        <v>9323.1510599999983</v>
      </c>
      <c r="O41" s="50">
        <v>11576</v>
      </c>
      <c r="P41" s="50">
        <v>13072</v>
      </c>
      <c r="Q41" s="50">
        <v>16513</v>
      </c>
    </row>
    <row r="42" spans="1:17">
      <c r="A42" s="38"/>
      <c r="B42" s="201" t="s">
        <v>564</v>
      </c>
      <c r="C42" s="204">
        <v>252.59</v>
      </c>
      <c r="D42" s="204" t="s">
        <v>565</v>
      </c>
      <c r="E42" s="204" t="s">
        <v>566</v>
      </c>
      <c r="F42" s="204" t="s">
        <v>567</v>
      </c>
      <c r="G42" s="204" t="s">
        <v>568</v>
      </c>
      <c r="H42" s="50">
        <v>4254</v>
      </c>
      <c r="I42" s="50">
        <v>4321</v>
      </c>
      <c r="J42" s="50">
        <v>1291</v>
      </c>
      <c r="K42" s="38"/>
      <c r="L42" s="38"/>
      <c r="M42" s="57" t="s">
        <v>569</v>
      </c>
      <c r="N42" s="204">
        <v>96</v>
      </c>
      <c r="O42" s="50">
        <v>253.68342999999999</v>
      </c>
      <c r="P42" s="50">
        <v>1216</v>
      </c>
      <c r="Q42" s="50">
        <v>1771</v>
      </c>
    </row>
    <row r="43" spans="1:17">
      <c r="A43" s="38"/>
      <c r="B43" s="201" t="s">
        <v>570</v>
      </c>
      <c r="C43" s="204">
        <v>23226</v>
      </c>
      <c r="D43" s="204" t="s">
        <v>571</v>
      </c>
      <c r="E43" s="204" t="s">
        <v>572</v>
      </c>
      <c r="F43" s="204" t="s">
        <v>573</v>
      </c>
      <c r="G43" s="204" t="s">
        <v>574</v>
      </c>
      <c r="H43" s="50">
        <v>51032</v>
      </c>
      <c r="I43" s="50">
        <v>54327</v>
      </c>
      <c r="J43" s="50">
        <v>58839</v>
      </c>
      <c r="K43" s="38"/>
      <c r="L43" s="38"/>
      <c r="M43" s="57" t="s">
        <v>570</v>
      </c>
      <c r="N43" s="204">
        <v>27327</v>
      </c>
      <c r="O43" s="50">
        <v>26820</v>
      </c>
      <c r="P43" s="50">
        <v>31214</v>
      </c>
      <c r="Q43" s="50">
        <v>43250</v>
      </c>
    </row>
    <row r="44" spans="1:17">
      <c r="A44" s="38"/>
      <c r="B44" s="201" t="s">
        <v>575</v>
      </c>
      <c r="C44" s="204">
        <f>701.89</f>
        <v>701.89</v>
      </c>
      <c r="D44" s="68">
        <f>826140.46/1000</f>
        <v>826.14045999999996</v>
      </c>
      <c r="E44" s="68">
        <v>1197.00056</v>
      </c>
      <c r="F44" s="68">
        <v>1316.2745199999999</v>
      </c>
      <c r="G44" s="68">
        <v>1532</v>
      </c>
      <c r="H44" s="50">
        <v>1413</v>
      </c>
      <c r="I44" s="50">
        <v>1413</v>
      </c>
      <c r="J44" s="50">
        <v>1515</v>
      </c>
      <c r="K44" s="38"/>
      <c r="L44" s="38"/>
      <c r="M44" s="57" t="s">
        <v>575</v>
      </c>
      <c r="N44" s="68">
        <v>826.14045999999996</v>
      </c>
      <c r="O44" s="50">
        <v>1197.00056</v>
      </c>
      <c r="P44" s="50">
        <v>1316.2745199999999</v>
      </c>
      <c r="Q44" s="50">
        <v>1532</v>
      </c>
    </row>
    <row r="45" spans="1:17">
      <c r="A45" s="38"/>
      <c r="B45" s="201" t="s">
        <v>576</v>
      </c>
      <c r="C45" s="83">
        <v>0</v>
      </c>
      <c r="D45" s="83">
        <v>0</v>
      </c>
      <c r="E45" s="68">
        <v>101.88916</v>
      </c>
      <c r="F45" s="68">
        <v>80.274199999999993</v>
      </c>
      <c r="G45" s="68">
        <v>35</v>
      </c>
      <c r="H45" s="677">
        <v>84</v>
      </c>
      <c r="I45" s="676">
        <v>147</v>
      </c>
      <c r="J45" s="676">
        <v>299</v>
      </c>
      <c r="K45" s="38"/>
      <c r="L45" s="38"/>
      <c r="M45" s="57" t="s">
        <v>576</v>
      </c>
      <c r="N45" s="678"/>
      <c r="O45" s="741">
        <v>101.88916</v>
      </c>
      <c r="P45" s="50">
        <v>80.274199999999993</v>
      </c>
      <c r="Q45" s="50">
        <v>35</v>
      </c>
    </row>
    <row r="46" spans="1:17">
      <c r="A46" s="38"/>
      <c r="B46" s="201" t="s">
        <v>577</v>
      </c>
      <c r="C46" s="204">
        <v>71.180000000000007</v>
      </c>
      <c r="D46" s="68">
        <f>5384411.53/1000</f>
        <v>5384.4115300000003</v>
      </c>
      <c r="E46" s="68">
        <v>5339.7616799999996</v>
      </c>
      <c r="F46" s="68">
        <v>5738</v>
      </c>
      <c r="G46" s="68">
        <v>6035</v>
      </c>
      <c r="H46" s="50">
        <v>6785</v>
      </c>
      <c r="I46" s="50">
        <v>7874</v>
      </c>
      <c r="J46" s="50">
        <v>6918</v>
      </c>
      <c r="K46" s="38"/>
      <c r="L46" s="38"/>
      <c r="M46" s="57" t="s">
        <v>578</v>
      </c>
      <c r="N46" s="68">
        <v>5384.4115300000003</v>
      </c>
      <c r="O46" s="741">
        <v>5339.7616799999996</v>
      </c>
      <c r="P46" s="50">
        <v>5738</v>
      </c>
      <c r="Q46" s="50">
        <v>6035</v>
      </c>
    </row>
    <row r="47" spans="1:17">
      <c r="A47" s="38"/>
      <c r="B47" s="201" t="s">
        <v>579</v>
      </c>
      <c r="C47" s="83">
        <v>0</v>
      </c>
      <c r="D47" s="83">
        <v>0</v>
      </c>
      <c r="E47" s="83">
        <v>0</v>
      </c>
      <c r="F47" s="83">
        <v>0</v>
      </c>
      <c r="G47" s="83">
        <v>0</v>
      </c>
      <c r="H47" s="682" t="s">
        <v>541</v>
      </c>
      <c r="I47" s="676">
        <v>8</v>
      </c>
      <c r="J47" s="676">
        <v>8</v>
      </c>
      <c r="K47" s="38"/>
      <c r="L47" s="38"/>
      <c r="M47" s="57" t="s">
        <v>579</v>
      </c>
      <c r="N47" s="678"/>
      <c r="O47" s="742">
        <v>0</v>
      </c>
      <c r="P47" s="51">
        <v>0</v>
      </c>
      <c r="Q47" s="51" t="s">
        <v>541</v>
      </c>
    </row>
    <row r="48" spans="1:17">
      <c r="A48" s="38"/>
      <c r="B48" s="475" t="s">
        <v>580</v>
      </c>
      <c r="C48" s="204">
        <v>1571.55</v>
      </c>
      <c r="D48" s="68">
        <f>976031.9/1000</f>
        <v>976.03190000000006</v>
      </c>
      <c r="E48" s="683"/>
      <c r="F48" s="683"/>
      <c r="G48" s="683"/>
      <c r="H48" s="683"/>
      <c r="I48" s="683"/>
      <c r="J48" s="683"/>
      <c r="K48" s="38"/>
      <c r="L48" s="38"/>
      <c r="M48" s="52" t="s">
        <v>580</v>
      </c>
      <c r="N48" s="68">
        <v>976.03190000000006</v>
      </c>
      <c r="O48" s="683"/>
      <c r="P48" s="683"/>
      <c r="Q48" s="683"/>
    </row>
    <row r="49" spans="1:17">
      <c r="A49" s="38"/>
      <c r="B49" s="475" t="s">
        <v>581</v>
      </c>
      <c r="C49" s="204">
        <v>40.19</v>
      </c>
      <c r="D49" s="68">
        <f>46822.4/1000</f>
        <v>46.822400000000002</v>
      </c>
      <c r="E49" s="683"/>
      <c r="F49" s="683"/>
      <c r="G49" s="683"/>
      <c r="H49" s="683"/>
      <c r="I49" s="683"/>
      <c r="J49" s="683"/>
      <c r="K49" s="38"/>
      <c r="L49" s="38"/>
      <c r="M49" s="52" t="s">
        <v>581</v>
      </c>
      <c r="N49" s="68">
        <v>46.822400000000002</v>
      </c>
      <c r="O49" s="683"/>
      <c r="P49" s="683"/>
      <c r="Q49" s="683"/>
    </row>
    <row r="50" spans="1:17">
      <c r="A50" s="38"/>
      <c r="B50" s="58" t="s">
        <v>582</v>
      </c>
      <c r="C50" s="56">
        <f>SUM(C40:C49)</f>
        <v>36225.4</v>
      </c>
      <c r="D50" s="56">
        <f>SUM(D40:D41,273,28352,D44:D49)</f>
        <v>45989.557349999995</v>
      </c>
      <c r="E50" s="56">
        <f>SUM(E40:E41,E44:E47,407,29558)</f>
        <v>49171.651400000002</v>
      </c>
      <c r="F50" s="56">
        <f>SUM(F40:F41,F44:F47,1227,31887)</f>
        <v>54465.548719999999</v>
      </c>
      <c r="G50" s="56">
        <f>SUM(G40:G41,G44:G47,1802,43322)</f>
        <v>70648</v>
      </c>
      <c r="H50" s="56">
        <f t="shared" ref="H50:J50" si="2">SUM(H40:H49)</f>
        <v>82592</v>
      </c>
      <c r="I50" s="56">
        <f t="shared" si="2"/>
        <v>87858</v>
      </c>
      <c r="J50" s="56">
        <f t="shared" si="2"/>
        <v>89880</v>
      </c>
      <c r="K50" s="38"/>
      <c r="L50" s="38"/>
      <c r="M50" s="58" t="s">
        <v>582</v>
      </c>
      <c r="N50" s="56">
        <v>44707.319229999994</v>
      </c>
      <c r="O50" s="56">
        <v>46195.136190000005</v>
      </c>
      <c r="P50" s="56">
        <v>53750.548719999999</v>
      </c>
      <c r="Q50" s="56">
        <v>70545</v>
      </c>
    </row>
    <row r="51" spans="1:17">
      <c r="A51" s="38"/>
      <c r="B51" s="885" t="s">
        <v>583</v>
      </c>
      <c r="C51" s="885"/>
      <c r="D51" s="885"/>
      <c r="E51" s="885"/>
      <c r="F51" s="885"/>
      <c r="G51" s="885"/>
      <c r="H51" s="93"/>
      <c r="I51" s="93"/>
      <c r="J51" s="681"/>
      <c r="K51" s="38"/>
      <c r="L51" s="38"/>
      <c r="M51" s="92" t="s">
        <v>583</v>
      </c>
      <c r="N51" s="93"/>
      <c r="O51" s="93"/>
      <c r="P51" s="93"/>
      <c r="Q51" s="93"/>
    </row>
    <row r="52" spans="1:17">
      <c r="A52" s="38"/>
      <c r="B52" s="156" t="s">
        <v>584</v>
      </c>
      <c r="C52" s="684">
        <v>0.18959999999999999</v>
      </c>
      <c r="D52" s="684">
        <v>0.18640000000000001</v>
      </c>
      <c r="E52" s="118">
        <v>0.18540000000000001</v>
      </c>
      <c r="F52" s="118">
        <v>0.19</v>
      </c>
      <c r="G52" s="118">
        <v>0.19</v>
      </c>
      <c r="H52" s="222">
        <v>0.16</v>
      </c>
      <c r="I52" s="222">
        <v>0.14000000000000001</v>
      </c>
      <c r="J52" s="222">
        <v>0.13</v>
      </c>
      <c r="K52" s="38"/>
      <c r="L52" s="38"/>
      <c r="M52" s="156" t="s">
        <v>585</v>
      </c>
      <c r="N52" s="684">
        <v>0.18640000000000001</v>
      </c>
      <c r="O52" s="684">
        <v>0.18540000000000001</v>
      </c>
      <c r="P52" s="222">
        <v>0.19</v>
      </c>
      <c r="Q52" s="222">
        <v>0.19</v>
      </c>
    </row>
    <row r="53" spans="1:17">
      <c r="A53" s="38"/>
      <c r="B53" s="156" t="s">
        <v>586</v>
      </c>
      <c r="C53" s="118">
        <v>0.68</v>
      </c>
      <c r="D53" s="684">
        <v>0.73</v>
      </c>
      <c r="E53" s="118">
        <v>0.78</v>
      </c>
      <c r="F53" s="222">
        <v>0.79</v>
      </c>
      <c r="G53" s="222">
        <v>0.79</v>
      </c>
      <c r="H53" s="222">
        <v>0.79</v>
      </c>
      <c r="I53" s="685">
        <v>0.8</v>
      </c>
      <c r="J53" s="685">
        <v>0.8</v>
      </c>
      <c r="K53" s="38"/>
      <c r="L53" s="38"/>
      <c r="M53" s="156" t="s">
        <v>586</v>
      </c>
      <c r="N53" s="684">
        <v>0.73</v>
      </c>
      <c r="O53" s="118">
        <v>0.78</v>
      </c>
      <c r="P53" s="222">
        <v>0.79</v>
      </c>
      <c r="Q53" s="222">
        <v>0.79</v>
      </c>
    </row>
    <row r="54" spans="1:17">
      <c r="A54" s="38"/>
      <c r="B54" s="156" t="s">
        <v>587</v>
      </c>
      <c r="C54" s="684">
        <f t="shared" ref="C54:J54" si="3">C53/(1-C52)</f>
        <v>0.83909180651530113</v>
      </c>
      <c r="D54" s="684">
        <f t="shared" si="3"/>
        <v>0.89724680432645032</v>
      </c>
      <c r="E54" s="684">
        <f t="shared" si="3"/>
        <v>0.9575251657255095</v>
      </c>
      <c r="F54" s="685">
        <f t="shared" si="3"/>
        <v>0.97530864197530864</v>
      </c>
      <c r="G54" s="685">
        <f t="shared" si="3"/>
        <v>0.97530864197530864</v>
      </c>
      <c r="H54" s="685">
        <f t="shared" si="3"/>
        <v>0.94047619047619058</v>
      </c>
      <c r="I54" s="685">
        <f t="shared" si="3"/>
        <v>0.93023255813953498</v>
      </c>
      <c r="J54" s="685">
        <f t="shared" si="3"/>
        <v>0.91954022988505757</v>
      </c>
      <c r="K54" s="38"/>
      <c r="L54" s="38"/>
      <c r="M54" s="156" t="s">
        <v>587</v>
      </c>
      <c r="N54" s="684">
        <v>0.89724680432645032</v>
      </c>
      <c r="O54" s="684">
        <v>0.9575251657255095</v>
      </c>
      <c r="P54" s="685">
        <v>0.97530864197530864</v>
      </c>
      <c r="Q54" s="685">
        <v>0.97530864197530864</v>
      </c>
    </row>
    <row r="55" spans="1:17">
      <c r="A55" s="38"/>
      <c r="B55" s="92" t="s">
        <v>588</v>
      </c>
      <c r="C55" s="93"/>
      <c r="D55" s="93"/>
      <c r="E55" s="93"/>
      <c r="F55" s="93"/>
      <c r="G55" s="93"/>
      <c r="H55" s="93"/>
      <c r="I55" s="93"/>
      <c r="J55" s="681"/>
      <c r="K55" s="38"/>
      <c r="L55" s="38"/>
      <c r="M55" s="92" t="s">
        <v>588</v>
      </c>
      <c r="N55" s="93"/>
      <c r="O55" s="93"/>
      <c r="P55" s="93"/>
      <c r="Q55" s="93"/>
    </row>
    <row r="56" spans="1:17">
      <c r="A56" s="38"/>
      <c r="B56" s="109" t="s">
        <v>589</v>
      </c>
      <c r="C56" s="83">
        <v>0</v>
      </c>
      <c r="D56" s="101">
        <v>0</v>
      </c>
      <c r="E56" s="101">
        <v>0</v>
      </c>
      <c r="F56" s="101">
        <v>0</v>
      </c>
      <c r="G56" s="101">
        <v>0</v>
      </c>
      <c r="H56" s="50">
        <f>'[1]Energy Consumption'!G37*0</f>
        <v>0</v>
      </c>
      <c r="I56" s="50">
        <f>'[1]Energy Consumption'!H37*0</f>
        <v>0</v>
      </c>
      <c r="J56" s="50">
        <f>'[1]Energy Consumption'!I37*0</f>
        <v>0</v>
      </c>
      <c r="K56" s="38"/>
      <c r="L56" s="38"/>
      <c r="M56" s="109" t="s">
        <v>589</v>
      </c>
      <c r="N56" s="101">
        <v>0</v>
      </c>
      <c r="O56" s="50">
        <v>0</v>
      </c>
      <c r="P56" s="50">
        <v>0</v>
      </c>
      <c r="Q56" s="50">
        <v>0</v>
      </c>
    </row>
    <row r="57" spans="1:17">
      <c r="A57" s="38"/>
      <c r="B57" s="109" t="s">
        <v>590</v>
      </c>
      <c r="C57" s="83">
        <v>0</v>
      </c>
      <c r="D57" s="83">
        <v>0</v>
      </c>
      <c r="E57" s="83">
        <v>0</v>
      </c>
      <c r="F57" s="83">
        <v>0</v>
      </c>
      <c r="G57" s="83">
        <v>0</v>
      </c>
      <c r="H57" s="50">
        <f>'[1]Energy Consumption'!G38*0</f>
        <v>0</v>
      </c>
      <c r="I57" s="50">
        <f>'[1]Energy Consumption'!H38*0</f>
        <v>0</v>
      </c>
      <c r="J57" s="50">
        <f>'[1]Energy Consumption'!I38*0</f>
        <v>0</v>
      </c>
      <c r="K57" s="38"/>
      <c r="L57" s="38"/>
      <c r="M57" s="109" t="s">
        <v>590</v>
      </c>
      <c r="N57" s="101">
        <v>0</v>
      </c>
      <c r="O57" s="50">
        <v>0</v>
      </c>
      <c r="P57" s="50">
        <v>0</v>
      </c>
      <c r="Q57" s="50">
        <v>0</v>
      </c>
    </row>
    <row r="58" spans="1:17">
      <c r="A58" s="38"/>
      <c r="B58" s="109" t="s">
        <v>591</v>
      </c>
      <c r="C58" s="68">
        <f>C54*'Energy Consumption'!C43/1000</f>
        <v>34426.969586000007</v>
      </c>
      <c r="D58" s="68" t="s">
        <v>592</v>
      </c>
      <c r="E58" s="68" t="s">
        <v>593</v>
      </c>
      <c r="F58" s="68" t="s">
        <v>594</v>
      </c>
      <c r="G58" s="68" t="s">
        <v>595</v>
      </c>
      <c r="H58" s="50">
        <f>H54*'[1]Energy Consumption'!G41/1000</f>
        <v>78191.384439999994</v>
      </c>
      <c r="I58" s="50">
        <f>I54*'[1]Energy Consumption'!H41/1000</f>
        <v>83763.948000000004</v>
      </c>
      <c r="J58" s="50">
        <f>J54*'[1]Energy Consumption'!I41/1000</f>
        <v>85091.842400000009</v>
      </c>
      <c r="K58" s="38"/>
      <c r="L58" s="38"/>
      <c r="M58" s="109" t="s">
        <v>591</v>
      </c>
      <c r="N58" s="68">
        <v>41491.877239999994</v>
      </c>
      <c r="O58" s="50">
        <v>44465.719841400001</v>
      </c>
      <c r="P58" s="50">
        <v>51588.666354899993</v>
      </c>
      <c r="Q58" s="50">
        <v>66385.547019999998</v>
      </c>
    </row>
    <row r="59" spans="1:17">
      <c r="A59" s="38"/>
      <c r="B59" s="109" t="s">
        <v>596</v>
      </c>
      <c r="C59" s="68">
        <f>'Energy Consumption'!C41/1000*C54</f>
        <v>13860.757847976307</v>
      </c>
      <c r="D59" s="68" t="s">
        <v>597</v>
      </c>
      <c r="E59" s="68" t="s">
        <v>598</v>
      </c>
      <c r="F59" s="68" t="s">
        <v>599</v>
      </c>
      <c r="G59" s="68" t="s">
        <v>600</v>
      </c>
      <c r="H59" s="50">
        <f>'[1]Energy Consumption'!G39/1000*[1]Emissions!G52</f>
        <v>3079.5544880952384</v>
      </c>
      <c r="I59" s="50">
        <f>'[1]Energy Consumption'!H39/1000*[1]Emissions!H52</f>
        <v>2220.6213953488377</v>
      </c>
      <c r="J59" s="50">
        <f>'[1]Energy Consumption'!I39/1000*[1]Emissions!I52</f>
        <v>1784.5416091954025</v>
      </c>
      <c r="K59" s="38"/>
      <c r="L59" s="38"/>
      <c r="M59" s="109" t="s">
        <v>596</v>
      </c>
      <c r="N59" s="68">
        <v>16827.998195796459</v>
      </c>
      <c r="O59" s="50">
        <v>21157.368819052295</v>
      </c>
      <c r="P59" s="50">
        <v>21755.523259259258</v>
      </c>
      <c r="Q59" s="50">
        <v>12638.267851851851</v>
      </c>
    </row>
    <row r="60" spans="1:17">
      <c r="A60" s="38"/>
      <c r="B60" s="109" t="s">
        <v>601</v>
      </c>
      <c r="C60" s="68">
        <f>974548.641415693/1000</f>
        <v>974.54864141569294</v>
      </c>
      <c r="D60" s="68">
        <f>671184.278513614/1000</f>
        <v>671.184278513614</v>
      </c>
      <c r="E60" s="50">
        <v>0</v>
      </c>
      <c r="F60" s="50">
        <v>0</v>
      </c>
      <c r="G60" s="50">
        <v>0</v>
      </c>
      <c r="H60" s="50">
        <v>0</v>
      </c>
      <c r="I60" s="50">
        <v>0</v>
      </c>
      <c r="J60" s="50">
        <v>0</v>
      </c>
      <c r="K60" s="202"/>
      <c r="L60" s="38"/>
      <c r="M60" s="109" t="s">
        <v>601</v>
      </c>
      <c r="N60" s="68">
        <v>615.74545919788602</v>
      </c>
      <c r="O60" s="50">
        <v>0</v>
      </c>
      <c r="P60" s="50">
        <v>0</v>
      </c>
      <c r="Q60" s="50">
        <v>0</v>
      </c>
    </row>
    <row r="61" spans="1:17">
      <c r="A61" s="38"/>
      <c r="B61" s="885" t="s">
        <v>602</v>
      </c>
      <c r="C61" s="885"/>
      <c r="D61" s="885"/>
      <c r="E61" s="885"/>
      <c r="F61" s="885"/>
      <c r="G61" s="885"/>
      <c r="H61" s="93"/>
      <c r="I61" s="93"/>
      <c r="J61" s="681"/>
      <c r="K61" s="38"/>
      <c r="L61" s="38"/>
      <c r="M61" s="92" t="s">
        <v>602</v>
      </c>
      <c r="N61" s="93"/>
      <c r="O61" s="93"/>
      <c r="P61" s="93"/>
      <c r="Q61" s="93"/>
    </row>
    <row r="62" spans="1:17">
      <c r="A62" s="38"/>
      <c r="B62" s="645" t="s">
        <v>603</v>
      </c>
      <c r="C62" s="68">
        <v>13714</v>
      </c>
      <c r="D62" s="68">
        <v>40097</v>
      </c>
      <c r="E62" s="50">
        <v>0</v>
      </c>
      <c r="F62" s="50">
        <v>15287</v>
      </c>
      <c r="G62" s="50">
        <v>11573</v>
      </c>
      <c r="H62" s="50">
        <v>589</v>
      </c>
      <c r="I62" s="50">
        <v>2139</v>
      </c>
      <c r="J62" s="50">
        <v>1918</v>
      </c>
      <c r="K62" s="38"/>
      <c r="L62" s="38"/>
      <c r="M62" s="645" t="s">
        <v>603</v>
      </c>
      <c r="N62" s="68">
        <v>40097</v>
      </c>
      <c r="O62" s="50">
        <v>0</v>
      </c>
      <c r="P62" s="50">
        <v>15287</v>
      </c>
      <c r="Q62" s="50">
        <v>11573</v>
      </c>
    </row>
    <row r="63" spans="1:17">
      <c r="A63" s="38"/>
      <c r="B63" s="57" t="s">
        <v>604</v>
      </c>
      <c r="C63" s="68">
        <f t="shared" ref="C63:J63" si="4">C62*C54</f>
        <v>11507.30503455084</v>
      </c>
      <c r="D63" s="68">
        <f t="shared" si="4"/>
        <v>35976.905113077679</v>
      </c>
      <c r="E63" s="118">
        <f t="shared" si="4"/>
        <v>0</v>
      </c>
      <c r="F63" s="50">
        <f t="shared" si="4"/>
        <v>14909.543209876543</v>
      </c>
      <c r="G63" s="50">
        <f t="shared" si="4"/>
        <v>11287.246913580248</v>
      </c>
      <c r="H63" s="50">
        <f t="shared" si="4"/>
        <v>553.94047619047626</v>
      </c>
      <c r="I63" s="50">
        <f t="shared" si="4"/>
        <v>1989.7674418604654</v>
      </c>
      <c r="J63" s="50">
        <f t="shared" si="4"/>
        <v>1763.6781609195405</v>
      </c>
      <c r="K63" s="38"/>
      <c r="L63" s="38"/>
      <c r="M63" s="57" t="s">
        <v>604</v>
      </c>
      <c r="N63" s="68">
        <v>35976.905113077679</v>
      </c>
      <c r="O63" s="118">
        <v>0</v>
      </c>
      <c r="P63" s="50">
        <v>14909.543209876543</v>
      </c>
      <c r="Q63" s="50">
        <v>11287.246913580248</v>
      </c>
    </row>
    <row r="64" spans="1:17">
      <c r="A64" s="38"/>
      <c r="B64" s="57" t="s">
        <v>605</v>
      </c>
      <c r="C64" s="118">
        <v>0</v>
      </c>
      <c r="D64" s="118">
        <v>0</v>
      </c>
      <c r="E64" s="118">
        <v>0</v>
      </c>
      <c r="F64" s="118">
        <v>0</v>
      </c>
      <c r="G64" s="118">
        <v>0</v>
      </c>
      <c r="H64" s="118">
        <v>0</v>
      </c>
      <c r="I64" s="118">
        <v>0</v>
      </c>
      <c r="J64" s="118">
        <v>0</v>
      </c>
      <c r="K64" s="38"/>
      <c r="L64" s="38"/>
      <c r="M64" s="57" t="s">
        <v>605</v>
      </c>
      <c r="N64" s="118">
        <v>0</v>
      </c>
      <c r="O64" s="118">
        <v>0</v>
      </c>
      <c r="P64" s="118">
        <v>0</v>
      </c>
      <c r="Q64" s="118">
        <v>0</v>
      </c>
    </row>
    <row r="65" spans="1:17">
      <c r="A65" s="38"/>
      <c r="B65" s="57" t="s">
        <v>606</v>
      </c>
      <c r="C65" s="118">
        <v>0</v>
      </c>
      <c r="D65" s="118">
        <f t="shared" ref="D65:J65" si="5">D64*D54</f>
        <v>0</v>
      </c>
      <c r="E65" s="118">
        <f t="shared" si="5"/>
        <v>0</v>
      </c>
      <c r="F65" s="118">
        <f t="shared" si="5"/>
        <v>0</v>
      </c>
      <c r="G65" s="118">
        <f t="shared" si="5"/>
        <v>0</v>
      </c>
      <c r="H65" s="118">
        <f t="shared" si="5"/>
        <v>0</v>
      </c>
      <c r="I65" s="118">
        <f t="shared" si="5"/>
        <v>0</v>
      </c>
      <c r="J65" s="118">
        <f t="shared" si="5"/>
        <v>0</v>
      </c>
      <c r="K65" s="38"/>
      <c r="L65" s="38"/>
      <c r="M65" s="57" t="s">
        <v>606</v>
      </c>
      <c r="N65" s="118">
        <v>0</v>
      </c>
      <c r="O65" s="118">
        <v>0</v>
      </c>
      <c r="P65" s="118">
        <v>0</v>
      </c>
      <c r="Q65" s="118">
        <v>0</v>
      </c>
    </row>
    <row r="66" spans="1:17">
      <c r="A66" s="38"/>
      <c r="B66" s="58" t="s">
        <v>607</v>
      </c>
      <c r="C66" s="56">
        <f>C58+C59+C60-C65</f>
        <v>49262.276075392001</v>
      </c>
      <c r="D66" s="56">
        <f>SUM(42585,15492,671,0)</f>
        <v>58748</v>
      </c>
      <c r="E66" s="56">
        <f>SUM(47063,21096,0,0)</f>
        <v>68159</v>
      </c>
      <c r="F66" s="56">
        <f>SUM(52227,21685,0,0)</f>
        <v>73912</v>
      </c>
      <c r="G66" s="56">
        <f>SUM(66488,12121,0,0)</f>
        <v>78609</v>
      </c>
      <c r="H66" s="56">
        <f t="shared" ref="H66:K66" si="6">H58+H59+H60-H65</f>
        <v>81270.938928095231</v>
      </c>
      <c r="I66" s="56">
        <f t="shared" si="6"/>
        <v>85984.569395348837</v>
      </c>
      <c r="J66" s="56">
        <f t="shared" si="6"/>
        <v>86876.384009195404</v>
      </c>
      <c r="K66" s="56">
        <f t="shared" si="6"/>
        <v>0</v>
      </c>
      <c r="L66" s="38"/>
      <c r="M66" s="58" t="s">
        <v>607</v>
      </c>
      <c r="N66" s="56">
        <v>58935.620894994339</v>
      </c>
      <c r="O66" s="56">
        <v>65623.088660452297</v>
      </c>
      <c r="P66" s="56">
        <v>73344.189614159259</v>
      </c>
      <c r="Q66" s="56">
        <v>79023.81487185185</v>
      </c>
    </row>
    <row r="67" spans="1:17">
      <c r="A67" s="38"/>
      <c r="B67" s="671"/>
      <c r="C67" s="671"/>
      <c r="D67" s="671"/>
      <c r="E67" s="674"/>
      <c r="F67" s="674"/>
      <c r="G67" s="207"/>
      <c r="H67" s="207"/>
      <c r="I67" s="207"/>
      <c r="J67" s="207"/>
      <c r="K67" s="38"/>
      <c r="L67" s="38"/>
    </row>
    <row r="68" spans="1:17">
      <c r="A68" s="38"/>
      <c r="B68" s="882" t="s">
        <v>608</v>
      </c>
      <c r="C68" s="882"/>
      <c r="D68" s="882"/>
      <c r="E68" s="882"/>
      <c r="F68" s="882"/>
      <c r="G68" s="882"/>
      <c r="H68" s="882"/>
      <c r="I68" s="882"/>
      <c r="J68" s="882"/>
      <c r="K68" s="38"/>
      <c r="L68" s="38"/>
    </row>
    <row r="69" spans="1:17">
      <c r="A69" s="38"/>
      <c r="B69" s="883" t="s">
        <v>609</v>
      </c>
      <c r="C69" s="883"/>
      <c r="D69" s="883"/>
      <c r="E69" s="883"/>
      <c r="F69" s="883"/>
      <c r="G69" s="883"/>
      <c r="H69" s="883"/>
      <c r="I69" s="883"/>
      <c r="J69" s="883"/>
      <c r="K69" s="38"/>
      <c r="L69" s="38"/>
    </row>
    <row r="70" spans="1:17" ht="46.95" customHeight="1">
      <c r="A70" s="38"/>
      <c r="B70" s="884" t="s">
        <v>535</v>
      </c>
      <c r="C70" s="884"/>
      <c r="D70" s="884"/>
      <c r="E70" s="884"/>
      <c r="F70" s="884"/>
      <c r="G70" s="884"/>
      <c r="H70" s="686"/>
      <c r="I70" s="686"/>
      <c r="J70" s="686"/>
      <c r="K70" s="38"/>
      <c r="L70" s="38"/>
    </row>
    <row r="71" spans="1:17">
      <c r="A71" s="38"/>
      <c r="B71" s="671"/>
      <c r="C71" s="671"/>
      <c r="D71" s="671"/>
      <c r="E71" s="674"/>
      <c r="F71" s="674"/>
      <c r="G71" s="207"/>
      <c r="H71" s="207"/>
      <c r="I71" s="207"/>
      <c r="J71" s="207"/>
      <c r="K71" s="38"/>
      <c r="L71" s="38"/>
    </row>
    <row r="72" spans="1:17" ht="18">
      <c r="A72" s="38"/>
      <c r="B72" s="81" t="s">
        <v>610</v>
      </c>
      <c r="C72" s="81"/>
      <c r="D72" s="81"/>
      <c r="E72" s="217"/>
      <c r="F72" s="217"/>
      <c r="G72" s="38"/>
      <c r="H72" s="38"/>
      <c r="I72" s="38"/>
      <c r="J72" s="38"/>
      <c r="K72" s="38"/>
      <c r="L72" s="38"/>
      <c r="M72" s="753" t="s">
        <v>611</v>
      </c>
    </row>
    <row r="73" spans="1:17" ht="15.6">
      <c r="A73" s="38"/>
      <c r="B73" s="81"/>
      <c r="C73" s="81"/>
      <c r="D73" s="81"/>
      <c r="E73" s="217"/>
      <c r="F73" s="217"/>
      <c r="G73" s="38"/>
      <c r="H73" s="38"/>
      <c r="I73" s="38"/>
      <c r="J73" s="38"/>
      <c r="K73" s="38"/>
      <c r="L73" s="38"/>
    </row>
    <row r="74" spans="1:17" ht="20.399999999999999">
      <c r="A74" s="38"/>
      <c r="B74" s="62"/>
      <c r="C74" s="62" t="s">
        <v>39</v>
      </c>
      <c r="D74" s="62" t="s">
        <v>40</v>
      </c>
      <c r="E74" s="62" t="s">
        <v>41</v>
      </c>
      <c r="F74" s="62" t="s">
        <v>42</v>
      </c>
      <c r="G74" s="62" t="s">
        <v>43</v>
      </c>
      <c r="H74" s="62" t="s">
        <v>96</v>
      </c>
      <c r="I74" s="62" t="s">
        <v>253</v>
      </c>
      <c r="J74" s="62" t="s">
        <v>254</v>
      </c>
      <c r="K74" s="38"/>
      <c r="L74" s="38"/>
      <c r="M74" s="740"/>
      <c r="N74" s="740" t="s">
        <v>40</v>
      </c>
      <c r="O74" s="740" t="s">
        <v>41</v>
      </c>
      <c r="P74" s="740" t="s">
        <v>42</v>
      </c>
      <c r="Q74" s="740" t="s">
        <v>43</v>
      </c>
    </row>
    <row r="75" spans="1:17">
      <c r="A75" s="38"/>
      <c r="B75" s="57" t="s">
        <v>612</v>
      </c>
      <c r="C75" s="68">
        <v>4627.4710824554068</v>
      </c>
      <c r="D75" s="68" t="s">
        <v>613</v>
      </c>
      <c r="E75" s="68" t="s">
        <v>614</v>
      </c>
      <c r="F75" s="68" t="s">
        <v>615</v>
      </c>
      <c r="G75" s="68" t="s">
        <v>616</v>
      </c>
      <c r="H75" s="50">
        <v>13216</v>
      </c>
      <c r="I75" s="50">
        <v>14675</v>
      </c>
      <c r="J75" s="50">
        <v>14782</v>
      </c>
      <c r="K75" s="38"/>
      <c r="L75" s="38"/>
      <c r="M75" s="57" t="s">
        <v>617</v>
      </c>
      <c r="N75" s="68">
        <v>4982</v>
      </c>
      <c r="O75" s="50">
        <v>6644</v>
      </c>
      <c r="P75" s="50">
        <v>7518</v>
      </c>
      <c r="Q75" s="50">
        <v>10469</v>
      </c>
    </row>
    <row r="76" spans="1:17">
      <c r="A76" s="38"/>
      <c r="B76" s="57" t="s">
        <v>618</v>
      </c>
      <c r="C76" s="68">
        <v>10488</v>
      </c>
      <c r="D76" s="68">
        <v>8647</v>
      </c>
      <c r="E76" s="68">
        <v>10658.9</v>
      </c>
      <c r="F76" s="68">
        <v>11494</v>
      </c>
      <c r="G76" s="68">
        <v>13803</v>
      </c>
      <c r="H76" s="50">
        <v>14892</v>
      </c>
      <c r="I76" s="50">
        <v>11990</v>
      </c>
      <c r="J76" s="50">
        <v>20571</v>
      </c>
      <c r="K76" s="38"/>
      <c r="L76" s="38"/>
      <c r="M76" s="57" t="s">
        <v>618</v>
      </c>
      <c r="N76" s="68">
        <v>8647</v>
      </c>
      <c r="O76" s="50">
        <v>10658.9</v>
      </c>
      <c r="P76" s="50">
        <v>11494</v>
      </c>
      <c r="Q76" s="50">
        <v>13803</v>
      </c>
    </row>
    <row r="77" spans="1:17">
      <c r="A77" s="38"/>
      <c r="B77" s="52" t="s">
        <v>619</v>
      </c>
      <c r="C77" s="68">
        <f>92213.57/1000</f>
        <v>92.213570000000004</v>
      </c>
      <c r="D77" s="68">
        <f>10970.62/1000</f>
        <v>10.97062</v>
      </c>
      <c r="E77" s="68">
        <v>9.782020000000001</v>
      </c>
      <c r="F77" s="68">
        <v>26.06118</v>
      </c>
      <c r="G77" s="68">
        <v>38</v>
      </c>
      <c r="H77" s="50">
        <v>64</v>
      </c>
      <c r="I77" s="50">
        <v>35</v>
      </c>
      <c r="J77" s="50">
        <v>42</v>
      </c>
      <c r="K77" s="38"/>
      <c r="L77" s="38"/>
      <c r="M77" s="52" t="s">
        <v>620</v>
      </c>
      <c r="N77" s="68">
        <v>10.97062</v>
      </c>
      <c r="O77" s="50">
        <v>9.782020000000001</v>
      </c>
      <c r="P77" s="50">
        <v>26.06118</v>
      </c>
      <c r="Q77" s="50">
        <v>38</v>
      </c>
    </row>
    <row r="78" spans="1:17">
      <c r="A78" s="38"/>
      <c r="B78" s="57" t="s">
        <v>621</v>
      </c>
      <c r="C78" s="68">
        <f>1589249.5/1000</f>
        <v>1589.2494999999999</v>
      </c>
      <c r="D78" s="68">
        <v>553</v>
      </c>
      <c r="E78" s="68">
        <v>35.431950000000001</v>
      </c>
      <c r="F78" s="68">
        <v>1911.73696</v>
      </c>
      <c r="G78" s="68">
        <v>3262</v>
      </c>
      <c r="H78" s="50">
        <v>5694</v>
      </c>
      <c r="I78" s="50">
        <v>4415</v>
      </c>
      <c r="J78" s="50">
        <v>4233</v>
      </c>
      <c r="K78" s="38"/>
      <c r="L78" s="38"/>
      <c r="M78" s="57" t="s">
        <v>622</v>
      </c>
      <c r="N78" s="68">
        <v>553</v>
      </c>
      <c r="O78" s="50">
        <v>35.431950000000001</v>
      </c>
      <c r="P78" s="50">
        <v>1911.73696</v>
      </c>
      <c r="Q78" s="50">
        <v>3262</v>
      </c>
    </row>
    <row r="79" spans="1:17">
      <c r="A79" s="38"/>
      <c r="B79" s="58" t="s">
        <v>61</v>
      </c>
      <c r="C79" s="670">
        <f t="shared" ref="C79:J79" si="7">SUM(C75:C78)</f>
        <v>16796.934152455404</v>
      </c>
      <c r="D79" s="670">
        <f>SUM(5158,D76:D78)</f>
        <v>14368.97062</v>
      </c>
      <c r="E79" s="56">
        <f>SUM(6109,E76:E78)</f>
        <v>16813.113969999999</v>
      </c>
      <c r="F79" s="56">
        <f>SUM(6825,F76:F78)</f>
        <v>20256.798139999999</v>
      </c>
      <c r="G79" s="56">
        <f>SUM(10095,G76:G78)</f>
        <v>27198</v>
      </c>
      <c r="H79" s="56">
        <f t="shared" si="7"/>
        <v>33866</v>
      </c>
      <c r="I79" s="56">
        <f t="shared" si="7"/>
        <v>31115</v>
      </c>
      <c r="J79" s="56">
        <f t="shared" si="7"/>
        <v>39628</v>
      </c>
      <c r="K79" s="38"/>
      <c r="L79" s="38"/>
      <c r="M79" s="58" t="s">
        <v>61</v>
      </c>
      <c r="N79" s="670">
        <v>14192.97062</v>
      </c>
      <c r="O79" s="56">
        <v>17348.113969999999</v>
      </c>
      <c r="P79" s="56">
        <v>20949.798139999999</v>
      </c>
      <c r="Q79" s="56">
        <v>27572</v>
      </c>
    </row>
    <row r="80" spans="1:17">
      <c r="A80" s="38"/>
      <c r="B80" s="671"/>
      <c r="C80" s="671"/>
      <c r="D80" s="671"/>
      <c r="E80" s="674"/>
      <c r="F80" s="674"/>
      <c r="G80" s="207"/>
      <c r="H80" s="207"/>
      <c r="I80" s="207"/>
      <c r="J80" s="207"/>
      <c r="K80" s="38"/>
      <c r="L80" s="38"/>
    </row>
    <row r="81" spans="1:17" ht="24.6" customHeight="1">
      <c r="A81" s="38"/>
      <c r="B81" s="881" t="s">
        <v>623</v>
      </c>
      <c r="C81" s="881"/>
      <c r="D81" s="881"/>
      <c r="E81" s="881"/>
      <c r="F81" s="881"/>
      <c r="G81" s="881"/>
      <c r="H81" s="881"/>
      <c r="I81" s="881"/>
      <c r="J81" s="881"/>
      <c r="K81" s="38"/>
      <c r="L81" s="609"/>
    </row>
    <row r="82" spans="1:17">
      <c r="A82" s="38"/>
      <c r="B82" s="826" t="s">
        <v>624</v>
      </c>
      <c r="C82" s="826"/>
      <c r="D82" s="826"/>
      <c r="E82" s="826"/>
      <c r="F82" s="826"/>
      <c r="G82" s="826"/>
      <c r="H82" s="826"/>
      <c r="I82" s="826"/>
      <c r="J82" s="826"/>
      <c r="K82" s="38"/>
      <c r="L82" s="38"/>
    </row>
    <row r="83" spans="1:17">
      <c r="A83" s="38"/>
      <c r="B83" s="140" t="s">
        <v>625</v>
      </c>
      <c r="C83" s="140"/>
      <c r="D83" s="141"/>
      <c r="E83" s="141"/>
      <c r="F83" s="141"/>
      <c r="G83" s="141"/>
      <c r="H83" s="141"/>
      <c r="I83" s="141"/>
      <c r="J83" s="141"/>
      <c r="K83" s="38"/>
      <c r="L83" s="38"/>
    </row>
    <row r="84" spans="1:17" ht="46.95" customHeight="1">
      <c r="A84" s="38"/>
      <c r="B84" s="884" t="s">
        <v>626</v>
      </c>
      <c r="C84" s="884"/>
      <c r="D84" s="884"/>
      <c r="E84" s="884"/>
      <c r="F84" s="884"/>
      <c r="G84" s="884"/>
      <c r="H84" s="141"/>
      <c r="I84" s="141"/>
      <c r="J84" s="141"/>
      <c r="K84" s="38"/>
      <c r="L84" s="38"/>
    </row>
    <row r="85" spans="1:17">
      <c r="A85" s="38"/>
      <c r="B85" s="881"/>
      <c r="C85" s="881"/>
      <c r="D85" s="881"/>
      <c r="E85" s="881"/>
      <c r="F85" s="881"/>
      <c r="G85" s="881"/>
      <c r="H85" s="881"/>
      <c r="I85" s="881"/>
      <c r="J85" s="881"/>
      <c r="K85" s="38"/>
      <c r="L85" s="38"/>
    </row>
    <row r="86" spans="1:17" ht="18">
      <c r="A86" s="38"/>
      <c r="B86" s="81" t="s">
        <v>627</v>
      </c>
      <c r="C86" s="81"/>
      <c r="D86" s="624"/>
      <c r="E86" s="624"/>
      <c r="F86" s="624"/>
      <c r="G86" s="624"/>
      <c r="H86" s="624"/>
      <c r="I86" s="624"/>
      <c r="J86" s="624"/>
      <c r="K86" s="38"/>
      <c r="L86" s="38"/>
      <c r="M86" s="755" t="s">
        <v>628</v>
      </c>
      <c r="N86" s="755"/>
      <c r="O86" s="755"/>
      <c r="P86" s="755"/>
      <c r="Q86" s="755"/>
    </row>
    <row r="87" spans="1:17">
      <c r="A87" s="38"/>
      <c r="B87" s="624"/>
      <c r="C87" s="624"/>
      <c r="D87" s="624"/>
      <c r="E87" s="624"/>
      <c r="F87" s="624"/>
      <c r="G87" s="624"/>
      <c r="H87" s="624"/>
      <c r="I87" s="624"/>
      <c r="J87" s="624"/>
      <c r="K87" s="38"/>
      <c r="L87" s="38"/>
      <c r="M87" s="755"/>
      <c r="N87" s="755"/>
      <c r="O87" s="755"/>
      <c r="P87" s="755"/>
      <c r="Q87" s="755"/>
    </row>
    <row r="88" spans="1:17">
      <c r="A88" s="38"/>
      <c r="B88" s="62"/>
      <c r="C88" s="62" t="s">
        <v>39</v>
      </c>
      <c r="D88" s="62" t="s">
        <v>40</v>
      </c>
      <c r="E88" s="38"/>
      <c r="F88" s="38"/>
      <c r="G88" s="651"/>
      <c r="H88" s="38"/>
      <c r="I88" s="38"/>
      <c r="J88" s="38"/>
      <c r="K88" s="38"/>
      <c r="L88" s="38"/>
      <c r="M88" s="755"/>
      <c r="N88" s="755"/>
      <c r="O88" s="755"/>
      <c r="P88" s="755"/>
      <c r="Q88" s="755"/>
    </row>
    <row r="89" spans="1:17" ht="21.6">
      <c r="A89" s="38"/>
      <c r="B89" s="201" t="s">
        <v>629</v>
      </c>
      <c r="C89" s="68">
        <f>34247</f>
        <v>34247</v>
      </c>
      <c r="D89" s="68">
        <v>26972.065999999999</v>
      </c>
      <c r="E89" s="38"/>
      <c r="F89" s="38"/>
      <c r="G89" s="38"/>
      <c r="H89" s="38"/>
      <c r="I89" s="38"/>
      <c r="J89" s="38"/>
      <c r="K89" s="38"/>
      <c r="L89" s="38"/>
      <c r="M89" s="755"/>
      <c r="N89" s="755"/>
      <c r="O89" s="755"/>
      <c r="P89" s="755"/>
      <c r="Q89" s="755"/>
    </row>
    <row r="90" spans="1:17">
      <c r="A90" s="38"/>
      <c r="B90" s="201" t="s">
        <v>630</v>
      </c>
      <c r="C90" s="462">
        <v>948.7</v>
      </c>
      <c r="D90" s="68">
        <v>790.7</v>
      </c>
      <c r="E90" s="38"/>
      <c r="F90" s="38"/>
      <c r="G90" s="38"/>
      <c r="H90" s="38"/>
      <c r="I90" s="38"/>
      <c r="J90" s="38"/>
      <c r="K90" s="38"/>
      <c r="L90" s="610"/>
      <c r="M90" s="755"/>
      <c r="N90" s="755"/>
      <c r="O90" s="755"/>
      <c r="P90" s="755"/>
      <c r="Q90" s="755"/>
    </row>
    <row r="91" spans="1:17">
      <c r="A91" s="38"/>
      <c r="B91" s="58" t="s">
        <v>61</v>
      </c>
      <c r="C91" s="670">
        <f>SUM(C89:C90)</f>
        <v>35195.699999999997</v>
      </c>
      <c r="D91" s="670">
        <f>SUM(D89:D90)</f>
        <v>27762.766</v>
      </c>
      <c r="E91" s="38"/>
      <c r="F91" s="38"/>
      <c r="G91" s="38"/>
      <c r="H91" s="38"/>
      <c r="I91" s="38"/>
      <c r="J91" s="38"/>
      <c r="K91" s="38"/>
      <c r="L91" s="610"/>
      <c r="M91" s="755"/>
      <c r="N91" s="755"/>
      <c r="O91" s="755"/>
      <c r="P91" s="755"/>
      <c r="Q91" s="755"/>
    </row>
    <row r="92" spans="1:17">
      <c r="A92" s="38"/>
      <c r="B92" s="67"/>
      <c r="C92" s="67"/>
      <c r="D92" s="672"/>
      <c r="E92" s="38"/>
      <c r="F92" s="38"/>
      <c r="G92" s="38"/>
      <c r="H92" s="38"/>
      <c r="I92" s="38"/>
      <c r="J92" s="38"/>
      <c r="K92" s="38"/>
      <c r="L92" s="38"/>
    </row>
    <row r="93" spans="1:17" ht="21.6" customHeight="1">
      <c r="A93" s="38"/>
      <c r="B93" s="881" t="s">
        <v>631</v>
      </c>
      <c r="C93" s="881"/>
      <c r="D93" s="881"/>
      <c r="E93" s="881"/>
      <c r="F93" s="881"/>
      <c r="G93" s="881"/>
      <c r="H93" s="881"/>
      <c r="I93" s="881"/>
      <c r="J93" s="881"/>
      <c r="K93" s="38"/>
      <c r="L93" s="38"/>
    </row>
    <row r="94" spans="1:17">
      <c r="A94" s="38"/>
      <c r="B94" s="881" t="s">
        <v>632</v>
      </c>
      <c r="C94" s="881"/>
      <c r="D94" s="881"/>
      <c r="E94" s="881"/>
      <c r="F94" s="881"/>
      <c r="G94" s="881"/>
      <c r="H94" s="881"/>
      <c r="I94" s="881"/>
      <c r="J94" s="881"/>
      <c r="K94" s="38"/>
      <c r="L94" s="38"/>
    </row>
    <row r="95" spans="1:17">
      <c r="A95" s="38"/>
      <c r="B95" s="624"/>
      <c r="C95" s="624"/>
      <c r="D95" s="624"/>
      <c r="E95" s="624"/>
      <c r="F95" s="624"/>
      <c r="G95" s="624"/>
      <c r="H95" s="624"/>
      <c r="I95" s="624"/>
      <c r="J95" s="624"/>
      <c r="K95" s="38"/>
      <c r="L95" s="38"/>
    </row>
    <row r="96" spans="1:17" ht="18">
      <c r="A96" s="38"/>
      <c r="B96" s="81" t="s">
        <v>633</v>
      </c>
      <c r="C96" s="81"/>
      <c r="D96" s="81"/>
      <c r="E96" s="38"/>
      <c r="F96" s="38"/>
      <c r="G96" s="38"/>
      <c r="H96" s="38"/>
      <c r="I96" s="38"/>
      <c r="J96" s="38"/>
      <c r="K96" s="38"/>
      <c r="L96" s="38"/>
      <c r="M96" s="753" t="s">
        <v>634</v>
      </c>
      <c r="N96" s="81"/>
      <c r="O96" s="38"/>
      <c r="P96" s="38"/>
    </row>
    <row r="97" spans="1:17">
      <c r="A97" s="38"/>
      <c r="B97" s="38"/>
      <c r="C97" s="38"/>
      <c r="D97" s="38"/>
      <c r="E97" s="38"/>
      <c r="F97" s="38"/>
      <c r="G97" s="38"/>
      <c r="H97" s="38"/>
      <c r="I97" s="38"/>
      <c r="J97" s="38"/>
      <c r="K97" s="38"/>
      <c r="L97" s="38"/>
      <c r="O97" s="38"/>
      <c r="P97" s="38"/>
    </row>
    <row r="98" spans="1:17" ht="13.95" customHeight="1">
      <c r="A98" s="38"/>
      <c r="B98" s="62"/>
      <c r="C98" s="62" t="s">
        <v>39</v>
      </c>
      <c r="D98" s="62" t="s">
        <v>40</v>
      </c>
      <c r="E98" s="62" t="s">
        <v>41</v>
      </c>
      <c r="F98" s="62" t="s">
        <v>42</v>
      </c>
      <c r="G98" s="62" t="s">
        <v>43</v>
      </c>
      <c r="H98" s="62" t="s">
        <v>96</v>
      </c>
      <c r="I98" s="62" t="s">
        <v>253</v>
      </c>
      <c r="J98" s="62" t="s">
        <v>254</v>
      </c>
      <c r="K98" s="38"/>
      <c r="M98" s="739"/>
      <c r="N98" s="739" t="s">
        <v>40</v>
      </c>
      <c r="O98" s="739" t="s">
        <v>41</v>
      </c>
      <c r="P98" s="739" t="s">
        <v>42</v>
      </c>
      <c r="Q98" s="739" t="s">
        <v>43</v>
      </c>
    </row>
    <row r="99" spans="1:17">
      <c r="A99" s="38"/>
      <c r="B99" s="92" t="s">
        <v>635</v>
      </c>
      <c r="C99" s="93"/>
      <c r="D99" s="93"/>
      <c r="E99" s="93"/>
      <c r="F99" s="93"/>
      <c r="G99" s="93"/>
      <c r="H99" s="93"/>
      <c r="I99" s="93"/>
      <c r="J99" s="681"/>
      <c r="K99" s="38"/>
      <c r="L99" s="38"/>
      <c r="M99" s="92" t="s">
        <v>636</v>
      </c>
      <c r="N99" s="93"/>
      <c r="O99" s="93"/>
      <c r="P99" s="93"/>
      <c r="Q99" s="93"/>
    </row>
    <row r="100" spans="1:17" ht="15.6" customHeight="1">
      <c r="A100" s="38"/>
      <c r="B100" s="57" t="s">
        <v>637</v>
      </c>
      <c r="C100" s="68">
        <f>165562+89859</f>
        <v>255421</v>
      </c>
      <c r="D100" s="68">
        <v>255949</v>
      </c>
      <c r="E100" s="50">
        <v>259558</v>
      </c>
      <c r="F100" s="50">
        <v>266128</v>
      </c>
      <c r="G100" s="50">
        <v>290083</v>
      </c>
      <c r="H100" s="50">
        <v>310586</v>
      </c>
      <c r="I100" s="50">
        <v>313830</v>
      </c>
      <c r="J100" s="50" t="s">
        <v>638</v>
      </c>
      <c r="K100" s="38"/>
      <c r="L100" s="38"/>
      <c r="M100" s="57" t="s">
        <v>637</v>
      </c>
      <c r="N100" s="68">
        <v>255949</v>
      </c>
      <c r="O100" s="50">
        <v>259558</v>
      </c>
      <c r="P100" s="50">
        <v>266128</v>
      </c>
      <c r="Q100" s="50">
        <v>290083</v>
      </c>
    </row>
    <row r="101" spans="1:17">
      <c r="A101" s="38"/>
      <c r="B101" s="57" t="s">
        <v>639</v>
      </c>
      <c r="C101" s="114">
        <v>1</v>
      </c>
      <c r="D101" s="114">
        <v>1</v>
      </c>
      <c r="E101" s="98">
        <v>1</v>
      </c>
      <c r="F101" s="98">
        <v>1</v>
      </c>
      <c r="G101" s="98">
        <v>1</v>
      </c>
      <c r="H101" s="98">
        <v>1</v>
      </c>
      <c r="I101" s="98">
        <v>1</v>
      </c>
      <c r="J101" s="98">
        <v>1</v>
      </c>
      <c r="K101" s="38"/>
      <c r="L101" s="38"/>
      <c r="M101" s="57" t="s">
        <v>639</v>
      </c>
      <c r="N101" s="114">
        <v>1</v>
      </c>
      <c r="O101" s="98">
        <v>1</v>
      </c>
      <c r="P101" s="98">
        <v>1</v>
      </c>
      <c r="Q101" s="98">
        <v>1</v>
      </c>
    </row>
    <row r="102" spans="1:17">
      <c r="A102" s="38"/>
      <c r="B102" s="58" t="s">
        <v>640</v>
      </c>
      <c r="C102" s="224">
        <v>41.2</v>
      </c>
      <c r="D102" s="224">
        <v>39.4</v>
      </c>
      <c r="E102" s="210">
        <v>48.56</v>
      </c>
      <c r="F102" s="210">
        <v>53.64</v>
      </c>
      <c r="G102" s="210">
        <v>61.18</v>
      </c>
      <c r="H102" s="210">
        <v>60.41</v>
      </c>
      <c r="I102" s="210">
        <v>61.7</v>
      </c>
      <c r="J102" s="210">
        <v>64.98</v>
      </c>
      <c r="K102" s="38"/>
      <c r="L102" s="38"/>
      <c r="M102" s="58" t="s">
        <v>640</v>
      </c>
      <c r="N102" s="224">
        <v>39.4</v>
      </c>
      <c r="O102" s="210">
        <v>48.56</v>
      </c>
      <c r="P102" s="210">
        <v>53.64</v>
      </c>
      <c r="Q102" s="210">
        <v>61.18</v>
      </c>
    </row>
    <row r="103" spans="1:17">
      <c r="A103" s="38"/>
      <c r="B103" s="58" t="s">
        <v>641</v>
      </c>
      <c r="C103" s="125">
        <f t="shared" ref="C103:I103" si="8">-1*(D102-C102)/D102</f>
        <v>4.5685279187817368E-2</v>
      </c>
      <c r="D103" s="125">
        <f t="shared" si="8"/>
        <v>-0.18863261943986828</v>
      </c>
      <c r="E103" s="646">
        <f t="shared" si="8"/>
        <v>-9.4705443698732253E-2</v>
      </c>
      <c r="F103" s="646">
        <f t="shared" si="8"/>
        <v>-0.12324288983327883</v>
      </c>
      <c r="G103" s="646">
        <f t="shared" si="8"/>
        <v>1.2746234067207469E-2</v>
      </c>
      <c r="H103" s="646">
        <f t="shared" si="8"/>
        <v>-2.0907617504051963E-2</v>
      </c>
      <c r="I103" s="646">
        <f t="shared" si="8"/>
        <v>-5.0477069867651603E-2</v>
      </c>
      <c r="J103" s="646">
        <v>-0.04</v>
      </c>
      <c r="K103" s="38"/>
      <c r="L103" s="38"/>
      <c r="M103" s="58" t="s">
        <v>641</v>
      </c>
      <c r="N103" s="125">
        <v>-0.18863261943986828</v>
      </c>
      <c r="O103" s="646">
        <v>-9.4705443698732253E-2</v>
      </c>
      <c r="P103" s="646">
        <v>-0.12324288983327883</v>
      </c>
      <c r="Q103" s="646">
        <v>1.2746234067207469E-2</v>
      </c>
    </row>
    <row r="104" spans="1:17">
      <c r="A104" s="38"/>
      <c r="B104" s="92" t="s">
        <v>642</v>
      </c>
      <c r="C104" s="93"/>
      <c r="D104" s="93"/>
      <c r="E104" s="93"/>
      <c r="F104" s="93"/>
      <c r="G104" s="93"/>
      <c r="H104" s="93"/>
      <c r="I104" s="93"/>
      <c r="J104" s="681"/>
      <c r="K104" s="38"/>
      <c r="L104" s="38"/>
      <c r="M104" s="92" t="s">
        <v>642</v>
      </c>
      <c r="N104" s="93"/>
      <c r="O104" s="93"/>
      <c r="P104" s="93"/>
      <c r="Q104" s="93"/>
    </row>
    <row r="105" spans="1:17">
      <c r="A105" s="38"/>
      <c r="B105" s="57" t="s">
        <v>643</v>
      </c>
      <c r="C105" s="68">
        <v>789615.43839999998</v>
      </c>
      <c r="D105" s="68">
        <v>858775</v>
      </c>
      <c r="E105" s="50">
        <v>933931</v>
      </c>
      <c r="F105" s="50">
        <v>994896</v>
      </c>
      <c r="G105" s="50">
        <v>1057605</v>
      </c>
      <c r="H105" s="50">
        <v>1056205</v>
      </c>
      <c r="I105" s="50">
        <v>1054234</v>
      </c>
      <c r="J105" s="50">
        <v>1047054</v>
      </c>
      <c r="K105" s="38"/>
      <c r="L105" s="38"/>
      <c r="M105" s="57" t="s">
        <v>643</v>
      </c>
      <c r="N105" s="68">
        <v>858775</v>
      </c>
      <c r="O105" s="50">
        <v>933931</v>
      </c>
      <c r="P105" s="50">
        <v>994896</v>
      </c>
      <c r="Q105" s="50">
        <v>1057605</v>
      </c>
    </row>
    <row r="106" spans="1:17">
      <c r="A106" s="38"/>
      <c r="B106" s="57" t="s">
        <v>639</v>
      </c>
      <c r="C106" s="114">
        <v>1</v>
      </c>
      <c r="D106" s="114">
        <v>1</v>
      </c>
      <c r="E106" s="98">
        <v>1</v>
      </c>
      <c r="F106" s="98">
        <v>1</v>
      </c>
      <c r="G106" s="98">
        <v>1</v>
      </c>
      <c r="H106" s="98">
        <v>1</v>
      </c>
      <c r="I106" s="98">
        <v>1</v>
      </c>
      <c r="J106" s="98">
        <v>1</v>
      </c>
      <c r="K106" s="38"/>
      <c r="L106" s="38"/>
      <c r="M106" s="57" t="s">
        <v>639</v>
      </c>
      <c r="N106" s="114">
        <v>1</v>
      </c>
      <c r="O106" s="98">
        <v>1</v>
      </c>
      <c r="P106" s="98">
        <v>1</v>
      </c>
      <c r="Q106" s="98">
        <v>1</v>
      </c>
    </row>
    <row r="107" spans="1:17">
      <c r="A107" s="38"/>
      <c r="B107" s="58" t="s">
        <v>640</v>
      </c>
      <c r="C107" s="224">
        <v>30.14</v>
      </c>
      <c r="D107" s="224" t="s">
        <v>644</v>
      </c>
      <c r="E107" s="224" t="s">
        <v>645</v>
      </c>
      <c r="F107" s="224" t="s">
        <v>646</v>
      </c>
      <c r="G107" s="224" t="s">
        <v>647</v>
      </c>
      <c r="H107" s="210">
        <v>49.54</v>
      </c>
      <c r="I107" s="210">
        <v>52.92</v>
      </c>
      <c r="J107" s="210">
        <v>56.58</v>
      </c>
      <c r="K107" s="38"/>
      <c r="L107" s="38"/>
      <c r="M107" s="58" t="s">
        <v>640</v>
      </c>
      <c r="N107" s="210">
        <v>32.409999999999997</v>
      </c>
      <c r="O107" s="210">
        <v>29.4</v>
      </c>
      <c r="P107" s="210">
        <v>32.659999999999997</v>
      </c>
      <c r="Q107" s="210">
        <v>42.25</v>
      </c>
    </row>
    <row r="108" spans="1:17">
      <c r="A108" s="38"/>
      <c r="B108" s="58" t="s">
        <v>648</v>
      </c>
      <c r="C108" s="63">
        <f>-1*(33.64-C107)/33.64</f>
        <v>-0.10404280618311534</v>
      </c>
      <c r="D108" s="750">
        <f>-1*(32.16-33.64)/32.16</f>
        <v>4.6019900497512568E-2</v>
      </c>
      <c r="E108" s="750">
        <f>-1*(33.34-32.16)/33.34</f>
        <v>-3.5392921415717059E-2</v>
      </c>
      <c r="F108" s="750">
        <f>-1*(42.36-33.34)/42.36</f>
        <v>-0.21293673276676101</v>
      </c>
      <c r="G108" s="750">
        <f>-1*(49.54-42.36)/49.54</f>
        <v>-0.14493338716188939</v>
      </c>
      <c r="H108" s="646">
        <f t="shared" ref="H108:I108" si="9">-1*(I107-H107)/I107</f>
        <v>-6.3869992441421053E-2</v>
      </c>
      <c r="I108" s="646">
        <f t="shared" si="9"/>
        <v>-6.4687168610816484E-2</v>
      </c>
      <c r="J108" s="646">
        <v>-0.03</v>
      </c>
      <c r="K108" s="38"/>
      <c r="L108" s="38"/>
      <c r="M108" s="58" t="s">
        <v>648</v>
      </c>
      <c r="N108" s="646">
        <v>0.10238095238095232</v>
      </c>
      <c r="O108" s="646">
        <v>-9.9816289038579253E-2</v>
      </c>
      <c r="P108" s="646">
        <v>-0.22698224852071014</v>
      </c>
      <c r="Q108" s="646">
        <v>-0.14715381509890996</v>
      </c>
    </row>
    <row r="109" spans="1:17">
      <c r="A109" s="38"/>
      <c r="B109" s="92" t="s">
        <v>649</v>
      </c>
      <c r="C109" s="93"/>
      <c r="D109" s="93"/>
      <c r="E109" s="93"/>
      <c r="F109" s="93"/>
      <c r="G109" s="93"/>
      <c r="H109" s="93"/>
      <c r="I109" s="93"/>
      <c r="J109" s="681"/>
      <c r="K109" s="38"/>
      <c r="L109" s="38"/>
      <c r="M109" s="92" t="s">
        <v>650</v>
      </c>
      <c r="N109" s="93"/>
      <c r="O109" s="93"/>
      <c r="P109" s="93"/>
      <c r="Q109" s="93"/>
    </row>
    <row r="110" spans="1:17">
      <c r="A110" s="38"/>
      <c r="B110" s="57" t="s">
        <v>651</v>
      </c>
      <c r="C110" s="68">
        <f>C100+C105</f>
        <v>1045036.4384</v>
      </c>
      <c r="D110" s="68">
        <v>1114524</v>
      </c>
      <c r="E110" s="50">
        <v>1195343</v>
      </c>
      <c r="F110" s="50">
        <v>1260794</v>
      </c>
      <c r="G110" s="50">
        <v>1347716</v>
      </c>
      <c r="H110" s="50">
        <v>1366882</v>
      </c>
      <c r="I110" s="50">
        <v>1368011</v>
      </c>
      <c r="J110" s="50">
        <v>1366279</v>
      </c>
      <c r="K110" s="38"/>
      <c r="L110" s="38"/>
      <c r="M110" s="57" t="s">
        <v>651</v>
      </c>
      <c r="N110" s="68">
        <v>1114524</v>
      </c>
      <c r="O110" s="50">
        <v>1195343</v>
      </c>
      <c r="P110" s="50">
        <v>1260794</v>
      </c>
      <c r="Q110" s="50">
        <v>1347716</v>
      </c>
    </row>
    <row r="111" spans="1:17">
      <c r="A111" s="38"/>
      <c r="B111" s="57" t="s">
        <v>639</v>
      </c>
      <c r="C111" s="114">
        <v>1</v>
      </c>
      <c r="D111" s="114">
        <v>1</v>
      </c>
      <c r="E111" s="98">
        <v>1</v>
      </c>
      <c r="F111" s="98">
        <v>1</v>
      </c>
      <c r="G111" s="98">
        <v>1</v>
      </c>
      <c r="H111" s="98">
        <v>1</v>
      </c>
      <c r="I111" s="98">
        <v>1</v>
      </c>
      <c r="J111" s="98">
        <v>1</v>
      </c>
      <c r="K111" s="38"/>
      <c r="L111" s="38"/>
      <c r="M111" s="57" t="s">
        <v>639</v>
      </c>
      <c r="N111" s="114">
        <v>1</v>
      </c>
      <c r="O111" s="98">
        <v>1</v>
      </c>
      <c r="P111" s="98">
        <v>1</v>
      </c>
      <c r="Q111" s="98">
        <v>1</v>
      </c>
    </row>
    <row r="112" spans="1:17">
      <c r="A112" s="38"/>
      <c r="B112" s="58" t="s">
        <v>640</v>
      </c>
      <c r="C112" s="224">
        <f>((C102*C100)+(C107*C105))/(C100+C105)</f>
        <v>32.843213166734301</v>
      </c>
      <c r="D112" s="224" t="s">
        <v>652</v>
      </c>
      <c r="E112" s="224" t="s">
        <v>653</v>
      </c>
      <c r="F112" s="224" t="s">
        <v>654</v>
      </c>
      <c r="G112" s="224" t="s">
        <v>655</v>
      </c>
      <c r="H112" s="210">
        <v>52</v>
      </c>
      <c r="I112" s="210">
        <v>54.93</v>
      </c>
      <c r="J112" s="210">
        <v>58.55</v>
      </c>
      <c r="K112" s="38"/>
      <c r="L112" s="38"/>
      <c r="M112" s="58" t="s">
        <v>640</v>
      </c>
      <c r="N112" s="210">
        <v>34.049999999999997</v>
      </c>
      <c r="O112" s="210">
        <v>33.51</v>
      </c>
      <c r="P112" s="210">
        <v>37.090000000000003</v>
      </c>
      <c r="Q112" s="210">
        <v>46.32</v>
      </c>
    </row>
    <row r="113" spans="1:20">
      <c r="A113" s="38"/>
      <c r="B113" s="58" t="s">
        <v>656</v>
      </c>
      <c r="C113" s="750">
        <f>-1*(34.96-C112)/34.96</f>
        <v>-6.0548822461833504E-2</v>
      </c>
      <c r="D113" s="750">
        <f>-1*(35.73-34.96)/35.73</f>
        <v>-2.1550517772180131E-2</v>
      </c>
      <c r="E113" s="750">
        <f>-1*(37.62-35.73)/37.62</f>
        <v>-5.0239234449760785E-2</v>
      </c>
      <c r="F113" s="750">
        <f>-1*(46.41-37.62)/46.41</f>
        <v>-0.18939883645765998</v>
      </c>
      <c r="G113" s="750">
        <f>-1*(52-46.41)/52</f>
        <v>-0.10750000000000007</v>
      </c>
      <c r="H113" s="125">
        <f t="shared" ref="H113:I113" si="10">-1*(I112-H112)/I112</f>
        <v>-5.334061532860003E-2</v>
      </c>
      <c r="I113" s="125">
        <f t="shared" si="10"/>
        <v>-6.1827497865072543E-2</v>
      </c>
      <c r="J113" s="125">
        <v>-0.04</v>
      </c>
      <c r="K113" s="38"/>
      <c r="L113" s="38"/>
      <c r="M113" s="58" t="s">
        <v>656</v>
      </c>
      <c r="N113" s="125">
        <v>1.6114592658907766E-2</v>
      </c>
      <c r="O113" s="125">
        <v>-9.6521973577783901E-2</v>
      </c>
      <c r="P113" s="125">
        <v>-0.19926597582037989</v>
      </c>
      <c r="Q113" s="125">
        <v>-0.10923076923076923</v>
      </c>
    </row>
    <row r="114" spans="1:20">
      <c r="A114" s="38"/>
      <c r="B114" s="38"/>
      <c r="C114" s="691"/>
      <c r="D114" s="752"/>
      <c r="E114" s="752"/>
      <c r="F114" s="752"/>
      <c r="G114" s="752"/>
      <c r="H114" s="212"/>
      <c r="I114" s="212"/>
      <c r="J114" s="212"/>
      <c r="K114" s="38"/>
      <c r="L114" s="38"/>
      <c r="O114" s="38"/>
      <c r="P114" s="38"/>
      <c r="Q114" s="212"/>
    </row>
    <row r="115" spans="1:20">
      <c r="A115" s="38"/>
      <c r="B115" s="886" t="s">
        <v>657</v>
      </c>
      <c r="C115" s="886"/>
      <c r="D115" s="886"/>
      <c r="E115" s="886"/>
      <c r="F115" s="886"/>
      <c r="G115" s="886"/>
      <c r="H115" s="212"/>
      <c r="I115" s="212"/>
      <c r="J115" s="212"/>
      <c r="K115" s="38"/>
      <c r="L115" s="38"/>
      <c r="M115" s="38" t="s">
        <v>658</v>
      </c>
      <c r="O115" s="744"/>
      <c r="P115" s="38"/>
      <c r="Q115" s="212"/>
      <c r="R115" s="212"/>
      <c r="S115" s="212"/>
      <c r="T115" s="212"/>
    </row>
    <row r="116" spans="1:20">
      <c r="A116" s="38"/>
      <c r="B116" s="886" t="s">
        <v>659</v>
      </c>
      <c r="C116" s="886"/>
      <c r="D116" s="886"/>
      <c r="E116" s="886"/>
      <c r="F116" s="886"/>
      <c r="G116" s="886"/>
      <c r="H116" s="212"/>
      <c r="I116" s="212"/>
      <c r="J116" s="212"/>
      <c r="K116" s="38"/>
      <c r="L116" s="38"/>
      <c r="M116" s="38" t="s">
        <v>660</v>
      </c>
      <c r="O116" s="38"/>
      <c r="P116" s="38"/>
      <c r="Q116" s="212"/>
      <c r="R116" s="212"/>
      <c r="S116" s="212"/>
      <c r="T116" s="212"/>
    </row>
    <row r="117" spans="1:20">
      <c r="A117" s="38"/>
      <c r="B117" s="886" t="s">
        <v>661</v>
      </c>
      <c r="C117" s="886"/>
      <c r="D117" s="886"/>
      <c r="E117" s="886"/>
      <c r="F117" s="886"/>
      <c r="G117" s="886"/>
      <c r="H117" s="212"/>
      <c r="I117" s="212"/>
      <c r="J117" s="212"/>
      <c r="K117" s="38"/>
      <c r="L117" s="38"/>
      <c r="M117" s="38" t="s">
        <v>662</v>
      </c>
      <c r="O117" s="38"/>
      <c r="P117" s="38"/>
      <c r="Q117" s="212"/>
      <c r="R117" s="212"/>
      <c r="S117" s="212"/>
      <c r="T117" s="212"/>
    </row>
    <row r="118" spans="1:20" ht="45" customHeight="1">
      <c r="A118" s="38"/>
      <c r="B118" s="884" t="s">
        <v>626</v>
      </c>
      <c r="C118" s="884"/>
      <c r="D118" s="884"/>
      <c r="E118" s="884"/>
      <c r="F118" s="884"/>
      <c r="G118" s="884"/>
      <c r="H118" s="212"/>
      <c r="I118" s="212"/>
      <c r="J118" s="212"/>
      <c r="K118" s="38"/>
      <c r="L118" s="38"/>
    </row>
    <row r="119" spans="1:20">
      <c r="A119" s="38"/>
      <c r="B119" s="38"/>
      <c r="C119" s="38"/>
      <c r="D119" s="38"/>
      <c r="E119" s="38"/>
      <c r="F119" s="38"/>
      <c r="G119" s="212"/>
      <c r="H119" s="212"/>
      <c r="I119" s="212"/>
      <c r="J119" s="212"/>
      <c r="K119" s="38"/>
      <c r="L119" s="38"/>
    </row>
    <row r="120" spans="1:20" ht="15.6">
      <c r="A120" s="38"/>
      <c r="B120" s="81" t="s">
        <v>663</v>
      </c>
      <c r="C120" s="81"/>
      <c r="D120" s="81"/>
      <c r="E120" s="217"/>
      <c r="F120" s="217"/>
      <c r="G120" s="38"/>
      <c r="H120" s="38"/>
      <c r="I120" s="38"/>
      <c r="J120" s="38"/>
      <c r="K120" s="38"/>
      <c r="L120" s="48"/>
      <c r="M120" s="81" t="s">
        <v>663</v>
      </c>
      <c r="N120" s="81"/>
    </row>
    <row r="121" spans="1:20" ht="15.6">
      <c r="A121" s="38"/>
      <c r="B121" s="81"/>
      <c r="C121" s="81"/>
      <c r="D121" s="81"/>
      <c r="E121" s="217"/>
      <c r="F121" s="217"/>
      <c r="G121" s="38"/>
      <c r="H121" s="38"/>
      <c r="I121" s="38"/>
      <c r="J121" s="38"/>
      <c r="K121" s="38"/>
      <c r="L121" s="48"/>
      <c r="M121" s="81"/>
      <c r="N121" s="81"/>
    </row>
    <row r="122" spans="1:20">
      <c r="A122" s="38"/>
      <c r="B122" s="43"/>
      <c r="C122" s="62" t="s">
        <v>39</v>
      </c>
      <c r="D122" s="43" t="s">
        <v>40</v>
      </c>
      <c r="E122" s="43" t="s">
        <v>41</v>
      </c>
      <c r="F122" s="43" t="s">
        <v>42</v>
      </c>
      <c r="G122" s="43" t="s">
        <v>43</v>
      </c>
      <c r="H122" s="38"/>
      <c r="I122" s="38"/>
      <c r="J122" s="38"/>
      <c r="K122" s="38"/>
      <c r="L122" s="48"/>
      <c r="M122" s="43"/>
      <c r="N122" s="43" t="s">
        <v>40</v>
      </c>
      <c r="O122" s="43" t="s">
        <v>41</v>
      </c>
      <c r="P122" s="43" t="s">
        <v>42</v>
      </c>
      <c r="Q122" s="43" t="s">
        <v>43</v>
      </c>
    </row>
    <row r="123" spans="1:20">
      <c r="A123" s="38"/>
      <c r="B123" s="92" t="s">
        <v>664</v>
      </c>
      <c r="C123" s="93"/>
      <c r="D123" s="93"/>
      <c r="E123" s="93"/>
      <c r="F123" s="93"/>
      <c r="G123" s="681"/>
      <c r="H123" s="38"/>
      <c r="I123" s="38"/>
      <c r="J123" s="38"/>
      <c r="K123" s="38"/>
      <c r="L123" s="48"/>
      <c r="M123" s="92" t="s">
        <v>664</v>
      </c>
      <c r="N123" s="93"/>
      <c r="O123" s="93"/>
      <c r="P123" s="93"/>
      <c r="Q123" s="681"/>
    </row>
    <row r="124" spans="1:20">
      <c r="A124" s="38"/>
      <c r="B124" s="162" t="s">
        <v>326</v>
      </c>
      <c r="C124" s="687">
        <f>(C18+C19+C20+C22)/C29</f>
        <v>0.94966900919802555</v>
      </c>
      <c r="D124" s="687">
        <f>(D18+D19+D20+D22)/D29</f>
        <v>0.78408055678130151</v>
      </c>
      <c r="E124" s="97">
        <v>0.19</v>
      </c>
      <c r="F124" s="97">
        <v>0.24</v>
      </c>
      <c r="G124" s="97">
        <v>0.16</v>
      </c>
      <c r="H124" s="38"/>
      <c r="I124" s="38"/>
      <c r="J124" s="38"/>
      <c r="K124" s="38"/>
      <c r="L124" s="48"/>
      <c r="M124" s="162" t="s">
        <v>326</v>
      </c>
      <c r="N124" s="745">
        <v>0.78408055678130151</v>
      </c>
      <c r="O124" s="97">
        <v>0.19</v>
      </c>
      <c r="P124" s="97">
        <v>0.24</v>
      </c>
      <c r="Q124" s="97">
        <v>0.16</v>
      </c>
    </row>
    <row r="125" spans="1:20">
      <c r="A125" s="38"/>
      <c r="B125" s="57" t="s">
        <v>665</v>
      </c>
      <c r="C125" s="688">
        <f>C23/C29</f>
        <v>5.2419208976378466E-3</v>
      </c>
      <c r="D125" s="688">
        <f>D23/D29</f>
        <v>3.2951295732112653E-3</v>
      </c>
      <c r="E125" s="98">
        <v>0.78</v>
      </c>
      <c r="F125" s="98">
        <v>0.72</v>
      </c>
      <c r="G125" s="98">
        <v>0.81</v>
      </c>
      <c r="H125" s="38"/>
      <c r="I125" s="38"/>
      <c r="J125" s="38"/>
      <c r="K125" s="38"/>
      <c r="L125" s="48"/>
      <c r="M125" s="57" t="s">
        <v>665</v>
      </c>
      <c r="N125" s="746">
        <v>3.2951295732112653E-3</v>
      </c>
      <c r="O125" s="98">
        <v>0.78</v>
      </c>
      <c r="P125" s="98">
        <v>0.72</v>
      </c>
      <c r="Q125" s="98">
        <v>0.81</v>
      </c>
    </row>
    <row r="126" spans="1:20">
      <c r="A126" s="38"/>
      <c r="B126" s="57" t="s">
        <v>666</v>
      </c>
      <c r="C126" s="688">
        <f>C25/C29</f>
        <v>2.1276805651014347E-3</v>
      </c>
      <c r="D126" s="688">
        <f>D25/D29</f>
        <v>0.17546872269903327</v>
      </c>
      <c r="E126" s="98">
        <v>0.03</v>
      </c>
      <c r="F126" s="98">
        <v>0.03</v>
      </c>
      <c r="G126" s="98">
        <v>0.03</v>
      </c>
      <c r="H126" s="38"/>
      <c r="I126" s="38"/>
      <c r="J126" s="38"/>
      <c r="K126" s="38"/>
      <c r="L126" s="48"/>
      <c r="M126" s="57" t="s">
        <v>666</v>
      </c>
      <c r="N126" s="746">
        <v>0.17546872269903327</v>
      </c>
      <c r="O126" s="98">
        <v>0.03</v>
      </c>
      <c r="P126" s="98">
        <v>0.03</v>
      </c>
      <c r="Q126" s="98">
        <v>0.03</v>
      </c>
    </row>
    <row r="127" spans="1:20">
      <c r="A127" s="38"/>
      <c r="B127" s="57" t="s">
        <v>667</v>
      </c>
      <c r="C127" s="688">
        <f>(C28+C27)/C29</f>
        <v>2.989276095327981E-2</v>
      </c>
      <c r="D127" s="688">
        <f>(D28+D27)/D29</f>
        <v>2.9058603880741014E-2</v>
      </c>
      <c r="E127" s="683"/>
      <c r="F127" s="683"/>
      <c r="G127" s="683"/>
      <c r="H127" s="38"/>
      <c r="I127" s="38"/>
      <c r="J127" s="38"/>
      <c r="K127" s="38"/>
      <c r="L127" s="48"/>
      <c r="M127" s="57" t="s">
        <v>667</v>
      </c>
      <c r="N127" s="746">
        <v>2.9058603880741014E-2</v>
      </c>
      <c r="O127" s="683"/>
      <c r="P127" s="683"/>
      <c r="Q127" s="683"/>
    </row>
    <row r="128" spans="1:20">
      <c r="A128" s="38"/>
      <c r="B128" s="57" t="s">
        <v>668</v>
      </c>
      <c r="C128" s="688">
        <f>C21/C29</f>
        <v>1.3068628385955334E-2</v>
      </c>
      <c r="D128" s="688">
        <f>D21/D29</f>
        <v>8.0969870657130009E-3</v>
      </c>
      <c r="E128" s="98">
        <v>0</v>
      </c>
      <c r="F128" s="98">
        <v>2.3709125021861887E-3</v>
      </c>
      <c r="G128" s="98">
        <v>0</v>
      </c>
      <c r="H128" s="38"/>
      <c r="I128" s="38"/>
      <c r="J128" s="38"/>
      <c r="K128" s="38"/>
      <c r="L128" s="48"/>
      <c r="M128" s="57" t="s">
        <v>668</v>
      </c>
      <c r="N128" s="746">
        <v>8.0969870657130009E-3</v>
      </c>
      <c r="O128" s="98">
        <v>0</v>
      </c>
      <c r="P128" s="98">
        <v>2.3709125021861887E-3</v>
      </c>
      <c r="Q128" s="98">
        <v>0</v>
      </c>
    </row>
    <row r="129" spans="1:17">
      <c r="A129" s="38"/>
      <c r="B129" s="92" t="s">
        <v>669</v>
      </c>
      <c r="C129" s="93"/>
      <c r="D129" s="93"/>
      <c r="E129" s="93"/>
      <c r="F129" s="93"/>
      <c r="G129" s="681"/>
      <c r="H129" s="38"/>
      <c r="I129" s="38"/>
      <c r="J129" s="38"/>
      <c r="K129" s="38"/>
      <c r="L129" s="48"/>
      <c r="M129" s="92" t="s">
        <v>669</v>
      </c>
      <c r="N129" s="93"/>
      <c r="O129" s="93"/>
      <c r="P129" s="93"/>
      <c r="Q129" s="681"/>
    </row>
    <row r="130" spans="1:17">
      <c r="A130" s="38"/>
      <c r="B130" s="162" t="s">
        <v>326</v>
      </c>
      <c r="C130" s="687">
        <f>(C41+C42+C43)/C50</f>
        <v>0.91001313995152555</v>
      </c>
      <c r="D130" s="687">
        <f>(D41+273+28352)/D50</f>
        <v>0.82514712570939763</v>
      </c>
      <c r="E130" s="97">
        <f>SUM(E41,407,29558)/E50</f>
        <v>0.84481604374182151</v>
      </c>
      <c r="F130" s="97">
        <f>SUM(F41,1227,31887)/F50</f>
        <v>0.84798558144407876</v>
      </c>
      <c r="G130" s="97">
        <f>SUM(G41,1802,43322)/G50</f>
        <v>0.87245215717359303</v>
      </c>
      <c r="H130" s="38"/>
      <c r="I130" s="38"/>
      <c r="J130" s="38"/>
      <c r="K130" s="38"/>
      <c r="L130" s="48"/>
      <c r="M130" s="162" t="s">
        <v>326</v>
      </c>
      <c r="N130" s="745">
        <v>0.82192696168957935</v>
      </c>
      <c r="O130" s="97">
        <v>0.83665113653159051</v>
      </c>
      <c r="P130" s="97">
        <v>0.85</v>
      </c>
      <c r="Q130" s="97">
        <v>0.87</v>
      </c>
    </row>
    <row r="131" spans="1:17">
      <c r="A131" s="38"/>
      <c r="B131" s="57" t="s">
        <v>665</v>
      </c>
      <c r="C131" s="687">
        <f>C44/C50</f>
        <v>1.937563146300662E-2</v>
      </c>
      <c r="D131" s="687">
        <f>D44/D50</f>
        <v>1.7963653220506592E-2</v>
      </c>
      <c r="E131" s="98">
        <v>2.8119208445010056E-2</v>
      </c>
      <c r="F131" s="98">
        <v>0.03</v>
      </c>
      <c r="G131" s="98">
        <v>0.02</v>
      </c>
      <c r="H131" s="38"/>
      <c r="I131" s="38"/>
      <c r="J131" s="38"/>
      <c r="K131" s="38"/>
      <c r="L131" s="48"/>
      <c r="M131" s="57" t="s">
        <v>665</v>
      </c>
      <c r="N131" s="745">
        <v>1.847886373481401E-2</v>
      </c>
      <c r="O131" s="98">
        <v>2.8119208445010056E-2</v>
      </c>
      <c r="P131" s="98">
        <v>0.03</v>
      </c>
      <c r="Q131" s="98">
        <v>0.02</v>
      </c>
    </row>
    <row r="132" spans="1:17">
      <c r="A132" s="38"/>
      <c r="B132" s="57" t="s">
        <v>666</v>
      </c>
      <c r="C132" s="687">
        <f>C46/C50</f>
        <v>1.9649196420191356E-3</v>
      </c>
      <c r="D132" s="687">
        <f>D46/D50</f>
        <v>0.11707900315331043</v>
      </c>
      <c r="E132" s="98">
        <v>0.11559862967165302</v>
      </c>
      <c r="F132" s="98">
        <v>0.11</v>
      </c>
      <c r="G132" s="98">
        <v>0.09</v>
      </c>
      <c r="H132" s="38"/>
      <c r="I132" s="38"/>
      <c r="J132" s="38"/>
      <c r="K132" s="38"/>
      <c r="L132" s="48"/>
      <c r="M132" s="57" t="s">
        <v>666</v>
      </c>
      <c r="N132" s="745">
        <v>0.12043691330047125</v>
      </c>
      <c r="O132" s="98">
        <v>0.11559862967165302</v>
      </c>
      <c r="P132" s="98">
        <v>0.11</v>
      </c>
      <c r="Q132" s="98">
        <v>0.09</v>
      </c>
    </row>
    <row r="133" spans="1:17">
      <c r="A133" s="38"/>
      <c r="B133" s="57" t="s">
        <v>667</v>
      </c>
      <c r="C133" s="687">
        <f>(C48+C49)/C50</f>
        <v>4.4491986285865717E-2</v>
      </c>
      <c r="D133" s="687">
        <f>(D48+D49)/D50</f>
        <v>2.2241012067492755E-2</v>
      </c>
      <c r="E133" s="683"/>
      <c r="F133" s="683"/>
      <c r="G133" s="683"/>
      <c r="H133" s="38"/>
      <c r="I133" s="38"/>
      <c r="J133" s="38"/>
      <c r="K133" s="38"/>
      <c r="L133" s="48"/>
      <c r="M133" s="57" t="s">
        <v>667</v>
      </c>
      <c r="N133" s="745">
        <v>2.2878900314685681E-2</v>
      </c>
      <c r="O133" s="683"/>
      <c r="P133" s="683"/>
      <c r="Q133" s="683"/>
    </row>
    <row r="134" spans="1:17">
      <c r="A134" s="38"/>
      <c r="B134" s="57" t="s">
        <v>668</v>
      </c>
      <c r="C134" s="687">
        <f>C40/C50</f>
        <v>2.41543226575828E-2</v>
      </c>
      <c r="D134" s="687">
        <f>D40/D50</f>
        <v>1.7569205849292658E-2</v>
      </c>
      <c r="E134" s="98">
        <v>1.9631024918773398E-2</v>
      </c>
      <c r="F134" s="98">
        <v>0.02</v>
      </c>
      <c r="G134" s="98">
        <v>0.02</v>
      </c>
      <c r="H134" s="38"/>
      <c r="I134" s="38"/>
      <c r="J134" s="38"/>
      <c r="K134" s="38"/>
      <c r="L134" s="48"/>
      <c r="M134" s="57" t="s">
        <v>668</v>
      </c>
      <c r="N134" s="745">
        <v>1.6278360960449833E-2</v>
      </c>
      <c r="O134" s="98">
        <v>1.9631024918773398E-2</v>
      </c>
      <c r="P134" s="98">
        <v>0.02</v>
      </c>
      <c r="Q134" s="98">
        <v>0.02</v>
      </c>
    </row>
  </sheetData>
  <sheetProtection algorithmName="SHA-512" hashValue="iZnNPul8uNs0d+ePuiRxC4ZlbGQUR+bLjxwlkQKJU+wkp1s029YUI3LtzMz4d0pW4LsUIFrJ2RNRJ7W4X5aABw==" saltValue="jVreKXGiqu3A5F3HMJzmPg==" spinCount="100000" sheet="1" objects="1" scenarios="1"/>
  <mergeCells count="21">
    <mergeCell ref="B118:G118"/>
    <mergeCell ref="B117:G117"/>
    <mergeCell ref="B116:G116"/>
    <mergeCell ref="B115:G115"/>
    <mergeCell ref="B84:G84"/>
    <mergeCell ref="B82:J82"/>
    <mergeCell ref="B85:J85"/>
    <mergeCell ref="B93:J93"/>
    <mergeCell ref="B94:J94"/>
    <mergeCell ref="B11:J11"/>
    <mergeCell ref="B31:J31"/>
    <mergeCell ref="B32:J32"/>
    <mergeCell ref="B68:J68"/>
    <mergeCell ref="B69:J69"/>
    <mergeCell ref="B81:J81"/>
    <mergeCell ref="B13:G13"/>
    <mergeCell ref="B33:G33"/>
    <mergeCell ref="B70:G70"/>
    <mergeCell ref="B39:G39"/>
    <mergeCell ref="B51:G51"/>
    <mergeCell ref="B61:G61"/>
  </mergeCells>
  <hyperlinks>
    <hyperlink ref="G45" location="_ftnref1" display="_ftnref1" xr:uid="{7EE858D4-4B84-477E-BD64-8B09206DF5D6}"/>
    <hyperlink ref="H47" location="_ftnref2" display="_ftnref2" xr:uid="{02520723-8048-491B-B020-84AAA88F8AA8}"/>
    <hyperlink ref="A1" location="'Data Pack Overview'!A1" display="H" xr:uid="{69AED5F2-1E6A-4EF5-B938-8D6F40927727}"/>
    <hyperlink ref="Q45" location="_ftnref1" display="_ftnref1" xr:uid="{00000000-0004-0000-0B00-000000000000}"/>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A6D70-BEC9-4AD0-943A-DE687961BA12}">
  <sheetPr>
    <tabColor rgb="FF92D050"/>
  </sheetPr>
  <dimension ref="A1:AF149"/>
  <sheetViews>
    <sheetView showGridLines="0" topLeftCell="B6" zoomScale="110" zoomScaleNormal="110" workbookViewId="0">
      <selection activeCell="C41" sqref="C41"/>
    </sheetView>
  </sheetViews>
  <sheetFormatPr defaultRowHeight="14.4"/>
  <cols>
    <col min="1" max="1" width="2.5546875" style="36" customWidth="1"/>
    <col min="2" max="2" width="51.5546875" style="36" customWidth="1"/>
    <col min="3" max="3" width="13.44140625" style="36" customWidth="1"/>
    <col min="4" max="4" width="11.5546875" style="36" customWidth="1"/>
    <col min="5" max="5" width="11.44140625" style="36" customWidth="1"/>
    <col min="6" max="6" width="10.5546875" style="36" customWidth="1"/>
    <col min="7" max="7" width="11.33203125" style="36" bestFit="1" customWidth="1"/>
    <col min="8" max="8" width="9.6640625" style="36" hidden="1" customWidth="1"/>
    <col min="9" max="9" width="6.5546875" style="36" hidden="1" customWidth="1"/>
    <col min="10" max="10" width="2.33203125" style="36" hidden="1" customWidth="1"/>
    <col min="11" max="11" width="15.88671875" style="36" customWidth="1"/>
    <col min="12" max="12" width="50.6640625" style="36" customWidth="1"/>
    <col min="13" max="16" width="13.33203125" style="36" customWidth="1"/>
    <col min="17" max="19" width="1.5546875" style="36" customWidth="1"/>
    <col min="20" max="26" width="1.5546875" style="36" hidden="1" customWidth="1"/>
    <col min="27" max="32" width="8.88671875" style="36" hidden="1" customWidth="1"/>
    <col min="33" max="35" width="8.88671875" style="36" customWidth="1"/>
    <col min="36" max="16384" width="8.88671875" style="36"/>
  </cols>
  <sheetData>
    <row r="1" spans="1:31">
      <c r="A1" s="426" t="s">
        <v>32</v>
      </c>
      <c r="B1" s="38"/>
      <c r="C1" s="38"/>
      <c r="D1" s="38"/>
      <c r="E1" s="38"/>
      <c r="F1" s="38"/>
      <c r="G1" s="38"/>
      <c r="H1" s="38"/>
      <c r="I1" s="38"/>
      <c r="J1" s="38"/>
      <c r="K1" s="38"/>
      <c r="L1" s="38"/>
      <c r="M1" s="38"/>
      <c r="N1" s="38"/>
      <c r="O1" s="38"/>
      <c r="P1" s="38"/>
    </row>
    <row r="2" spans="1:31" ht="21">
      <c r="A2" s="38"/>
      <c r="B2" s="39" t="s">
        <v>670</v>
      </c>
      <c r="C2" s="39"/>
      <c r="D2" s="39"/>
      <c r="E2" s="38"/>
      <c r="F2" s="38"/>
      <c r="G2" s="893"/>
      <c r="H2" s="893"/>
      <c r="I2" s="893"/>
      <c r="J2" s="893"/>
      <c r="K2" s="893"/>
      <c r="L2" s="38"/>
      <c r="M2" s="38"/>
      <c r="N2" s="38"/>
      <c r="O2" s="38"/>
      <c r="P2" s="38"/>
    </row>
    <row r="3" spans="1:31">
      <c r="A3" s="38"/>
      <c r="B3" s="607"/>
      <c r="C3" s="607"/>
      <c r="D3" s="607"/>
      <c r="E3" s="38"/>
      <c r="F3" s="38"/>
      <c r="G3" s="38"/>
      <c r="H3" s="38"/>
      <c r="I3" s="38"/>
      <c r="J3" s="38"/>
      <c r="K3" s="38"/>
      <c r="L3" s="38"/>
      <c r="M3" s="38"/>
      <c r="N3" s="38"/>
      <c r="O3" s="38"/>
      <c r="P3" s="38"/>
      <c r="AA3" s="36" t="s">
        <v>671</v>
      </c>
    </row>
    <row r="4" spans="1:31" ht="15.6">
      <c r="A4" s="38"/>
      <c r="B4" s="81" t="s">
        <v>672</v>
      </c>
      <c r="C4" s="81"/>
      <c r="D4" s="749"/>
      <c r="E4" s="749"/>
      <c r="F4" s="749"/>
      <c r="G4" s="749"/>
      <c r="H4" s="38"/>
      <c r="I4" s="38"/>
      <c r="J4" s="38"/>
      <c r="K4" s="38"/>
      <c r="L4" s="753" t="s">
        <v>673</v>
      </c>
      <c r="M4" s="38"/>
      <c r="N4" s="38"/>
      <c r="O4" s="38"/>
      <c r="P4" s="38"/>
    </row>
    <row r="5" spans="1:31" ht="15.6">
      <c r="A5" s="38"/>
      <c r="B5" s="81"/>
      <c r="C5" s="81"/>
      <c r="D5" s="749"/>
      <c r="E5" s="749"/>
      <c r="F5" s="749"/>
      <c r="G5" s="749"/>
      <c r="H5" s="38"/>
      <c r="I5" s="38"/>
      <c r="J5" s="38"/>
      <c r="K5" s="38"/>
      <c r="L5" s="38"/>
      <c r="M5" s="38"/>
      <c r="N5" s="38"/>
      <c r="O5" s="38"/>
      <c r="P5" s="38"/>
      <c r="AA5" s="787" t="s">
        <v>39</v>
      </c>
      <c r="AB5" s="787" t="s">
        <v>40</v>
      </c>
      <c r="AC5" s="787" t="s">
        <v>41</v>
      </c>
      <c r="AD5" s="787" t="s">
        <v>42</v>
      </c>
      <c r="AE5" s="787" t="s">
        <v>43</v>
      </c>
    </row>
    <row r="6" spans="1:31">
      <c r="A6" s="38"/>
      <c r="B6" s="61" t="s">
        <v>674</v>
      </c>
      <c r="C6" s="62" t="s">
        <v>39</v>
      </c>
      <c r="D6" s="62" t="s">
        <v>40</v>
      </c>
      <c r="E6" s="62" t="s">
        <v>41</v>
      </c>
      <c r="F6" s="62" t="s">
        <v>42</v>
      </c>
      <c r="G6" s="62" t="s">
        <v>43</v>
      </c>
      <c r="H6" s="629"/>
      <c r="I6" s="38"/>
      <c r="J6" s="38"/>
      <c r="K6" s="38"/>
      <c r="L6" s="739" t="s">
        <v>674</v>
      </c>
      <c r="M6" s="739" t="s">
        <v>40</v>
      </c>
      <c r="N6" s="739" t="s">
        <v>41</v>
      </c>
      <c r="O6" s="38"/>
      <c r="P6" s="38"/>
      <c r="AA6" s="50">
        <v>70005.695903599015</v>
      </c>
      <c r="AB6" s="50">
        <v>59339</v>
      </c>
      <c r="AC6" s="47">
        <f>72727054/1000</f>
        <v>72727.054000000004</v>
      </c>
      <c r="AD6" s="50">
        <v>77998.621673808972</v>
      </c>
      <c r="AE6" s="50">
        <v>93180.014076350373</v>
      </c>
    </row>
    <row r="7" spans="1:31">
      <c r="A7" s="38"/>
      <c r="B7" s="630" t="s">
        <v>675</v>
      </c>
      <c r="C7" s="68">
        <v>70005.695903599015</v>
      </c>
      <c r="D7" s="68">
        <v>59339</v>
      </c>
      <c r="E7" s="204">
        <f>72727054/1000</f>
        <v>72727.054000000004</v>
      </c>
      <c r="F7" s="68">
        <v>77998.621673808972</v>
      </c>
      <c r="G7" s="68">
        <v>93180.014076350373</v>
      </c>
      <c r="H7" s="38"/>
      <c r="I7" s="38"/>
      <c r="J7" s="38"/>
      <c r="K7" s="38"/>
      <c r="L7" s="630" t="s">
        <v>675</v>
      </c>
      <c r="M7" s="68">
        <v>59339</v>
      </c>
      <c r="N7" s="47">
        <v>72727.054000000004</v>
      </c>
      <c r="O7" s="38"/>
      <c r="P7" s="38"/>
      <c r="AA7" s="50">
        <v>4895.4911278144518</v>
      </c>
      <c r="AB7" s="50">
        <v>4101</v>
      </c>
      <c r="AC7" s="50">
        <v>4881.2007611525287</v>
      </c>
      <c r="AD7" s="50">
        <v>5737.3712428010122</v>
      </c>
      <c r="AE7" s="50">
        <v>7261.1526569018079</v>
      </c>
    </row>
    <row r="8" spans="1:31">
      <c r="A8" s="38"/>
      <c r="B8" s="625" t="s">
        <v>676</v>
      </c>
      <c r="C8" s="68">
        <v>4895.4911278144518</v>
      </c>
      <c r="D8" s="68">
        <v>4101</v>
      </c>
      <c r="E8" s="68">
        <v>4881.2007611525287</v>
      </c>
      <c r="F8" s="68">
        <v>5737.3712428010122</v>
      </c>
      <c r="G8" s="68">
        <v>7261.1526569018079</v>
      </c>
      <c r="H8" s="38"/>
      <c r="I8" s="38"/>
      <c r="J8" s="38"/>
      <c r="K8" s="38"/>
      <c r="L8" s="625" t="s">
        <v>677</v>
      </c>
      <c r="M8" s="50">
        <v>4101</v>
      </c>
      <c r="N8" s="642"/>
      <c r="O8" s="38"/>
      <c r="P8" s="38"/>
      <c r="AA8" s="50">
        <v>3731.3096805306</v>
      </c>
      <c r="AB8" s="50">
        <v>4093</v>
      </c>
      <c r="AC8" s="50">
        <v>4928</v>
      </c>
      <c r="AD8" s="50">
        <v>5615</v>
      </c>
      <c r="AE8" s="50">
        <v>8009</v>
      </c>
    </row>
    <row r="9" spans="1:31">
      <c r="A9" s="38"/>
      <c r="B9" s="201" t="s">
        <v>678</v>
      </c>
      <c r="C9" s="68">
        <v>3731.3096805306</v>
      </c>
      <c r="D9" s="68" t="s">
        <v>679</v>
      </c>
      <c r="E9" s="68" t="s">
        <v>680</v>
      </c>
      <c r="F9" s="68" t="s">
        <v>681</v>
      </c>
      <c r="G9" s="68" t="s">
        <v>682</v>
      </c>
      <c r="H9" s="38"/>
      <c r="I9" s="38"/>
      <c r="J9" s="38"/>
      <c r="K9" s="38"/>
      <c r="L9" s="201" t="s">
        <v>678</v>
      </c>
      <c r="M9" s="68">
        <v>4070</v>
      </c>
      <c r="N9" s="50">
        <v>6107.4340000000002</v>
      </c>
      <c r="O9" s="38"/>
      <c r="P9" s="38"/>
      <c r="AA9" s="219">
        <v>176973.81518731968</v>
      </c>
      <c r="AB9" s="219">
        <v>198900</v>
      </c>
      <c r="AC9" s="219">
        <v>214150</v>
      </c>
      <c r="AD9" s="219">
        <v>243437</v>
      </c>
      <c r="AE9" s="219">
        <v>262697</v>
      </c>
    </row>
    <row r="10" spans="1:31">
      <c r="A10" s="38"/>
      <c r="B10" s="201" t="s">
        <v>683</v>
      </c>
      <c r="C10" s="631">
        <v>176973.81518731968</v>
      </c>
      <c r="D10" s="631" t="s">
        <v>684</v>
      </c>
      <c r="E10" s="631" t="s">
        <v>685</v>
      </c>
      <c r="F10" s="631" t="s">
        <v>686</v>
      </c>
      <c r="G10" s="631" t="s">
        <v>687</v>
      </c>
      <c r="H10" s="38"/>
      <c r="I10" s="38"/>
      <c r="J10" s="38"/>
      <c r="K10" s="38"/>
      <c r="L10" s="201" t="s">
        <v>683</v>
      </c>
      <c r="M10" s="68">
        <v>198707</v>
      </c>
      <c r="N10" s="50">
        <v>208493.40599999999</v>
      </c>
      <c r="O10" s="38"/>
      <c r="P10" s="38"/>
      <c r="AA10" s="50">
        <v>3873.2508368364042</v>
      </c>
      <c r="AB10" s="50">
        <v>3930</v>
      </c>
      <c r="AC10" s="50">
        <f>5901392/1000</f>
        <v>5901.3919999999998</v>
      </c>
      <c r="AD10" s="50">
        <v>5907.3683227012216</v>
      </c>
      <c r="AE10" s="50">
        <v>6776.5889605500561</v>
      </c>
    </row>
    <row r="11" spans="1:31">
      <c r="A11" s="38"/>
      <c r="B11" s="201" t="s">
        <v>688</v>
      </c>
      <c r="C11" s="68">
        <v>3873.2508368364042</v>
      </c>
      <c r="D11" s="68">
        <v>3930</v>
      </c>
      <c r="E11" s="68">
        <f>5901392/1000</f>
        <v>5901.3919999999998</v>
      </c>
      <c r="F11" s="68">
        <v>5907.3683227012216</v>
      </c>
      <c r="G11" s="68">
        <v>6776.5889605500561</v>
      </c>
      <c r="H11" s="38"/>
      <c r="I11" s="38"/>
      <c r="J11" s="38"/>
      <c r="K11" s="38"/>
      <c r="L11" s="201" t="s">
        <v>688</v>
      </c>
      <c r="M11" s="50">
        <v>3930</v>
      </c>
      <c r="N11" s="50">
        <v>5901.3919999999998</v>
      </c>
      <c r="O11" s="38"/>
      <c r="P11" s="38"/>
      <c r="AA11" s="223">
        <v>779.80640634278052</v>
      </c>
      <c r="AB11" s="50">
        <v>38157</v>
      </c>
      <c r="AC11" s="50">
        <f>53244963/1000</f>
        <v>53244.963000000003</v>
      </c>
      <c r="AD11" s="50">
        <v>36927.856324848464</v>
      </c>
      <c r="AE11" s="50">
        <v>38195.038839390036</v>
      </c>
    </row>
    <row r="12" spans="1:31">
      <c r="A12" s="38"/>
      <c r="B12" s="201" t="s">
        <v>689</v>
      </c>
      <c r="C12" s="462">
        <v>779.80640634278052</v>
      </c>
      <c r="D12" s="50">
        <v>38157</v>
      </c>
      <c r="E12" s="68">
        <f>53244963/1000</f>
        <v>53244.963000000003</v>
      </c>
      <c r="F12" s="68">
        <v>36927.856324848464</v>
      </c>
      <c r="G12" s="68">
        <v>38195.038839390036</v>
      </c>
      <c r="H12" s="38"/>
      <c r="I12" s="38"/>
      <c r="J12" s="38"/>
      <c r="K12" s="38"/>
      <c r="L12" s="201" t="s">
        <v>330</v>
      </c>
      <c r="M12" s="50">
        <v>38157</v>
      </c>
      <c r="N12" s="50">
        <v>53244.963000000003</v>
      </c>
      <c r="O12" s="38"/>
      <c r="P12" s="38"/>
      <c r="AA12" s="50">
        <v>9825.428323848213</v>
      </c>
      <c r="AB12" s="50">
        <v>5484</v>
      </c>
      <c r="AC12" s="788"/>
      <c r="AD12" s="788"/>
      <c r="AE12" s="788"/>
    </row>
    <row r="13" spans="1:31">
      <c r="A13" s="38"/>
      <c r="B13" s="625" t="s">
        <v>690</v>
      </c>
      <c r="C13" s="68">
        <v>9825.428323848213</v>
      </c>
      <c r="D13" s="68">
        <v>5484</v>
      </c>
      <c r="E13" s="254"/>
      <c r="F13" s="254"/>
      <c r="G13" s="254"/>
      <c r="H13" s="38"/>
      <c r="I13" s="38"/>
      <c r="J13" s="38"/>
      <c r="K13" s="38"/>
      <c r="L13" s="625" t="s">
        <v>691</v>
      </c>
      <c r="M13" s="68">
        <v>5484</v>
      </c>
      <c r="N13" s="642"/>
      <c r="O13" s="38"/>
      <c r="P13" s="38"/>
      <c r="AA13" s="789">
        <f>SUM(AA6:AA12)</f>
        <v>270084.79746629117</v>
      </c>
      <c r="AB13" s="789">
        <f>SUM(AB6:AB12)</f>
        <v>314004</v>
      </c>
      <c r="AC13" s="789">
        <f t="shared" ref="AC13:AE13" si="0">SUM(AC6:AC12)</f>
        <v>355832.60976115253</v>
      </c>
      <c r="AD13" s="789">
        <f t="shared" si="0"/>
        <v>375623.21756415966</v>
      </c>
      <c r="AE13" s="789">
        <f t="shared" si="0"/>
        <v>416118.7945331923</v>
      </c>
    </row>
    <row r="14" spans="1:31">
      <c r="A14" s="38"/>
      <c r="B14" s="58" t="s">
        <v>61</v>
      </c>
      <c r="C14" s="56">
        <f>SUM(C7:C13)</f>
        <v>270084.79746629117</v>
      </c>
      <c r="D14" s="56">
        <f>AB13</f>
        <v>314004</v>
      </c>
      <c r="E14" s="56">
        <f>AC13</f>
        <v>355832.60976115253</v>
      </c>
      <c r="F14" s="56">
        <f>AD13</f>
        <v>375623.21756415966</v>
      </c>
      <c r="G14" s="56">
        <f>AE13</f>
        <v>416118.7945331923</v>
      </c>
      <c r="H14" s="56">
        <f t="shared" ref="H14:J14" si="1">SUM(H7:H13)</f>
        <v>0</v>
      </c>
      <c r="I14" s="56">
        <f t="shared" si="1"/>
        <v>0</v>
      </c>
      <c r="J14" s="56">
        <f t="shared" si="1"/>
        <v>0</v>
      </c>
      <c r="K14" s="38"/>
      <c r="L14" s="58" t="s">
        <v>61</v>
      </c>
      <c r="M14" s="56">
        <v>313788</v>
      </c>
      <c r="N14" s="56">
        <v>346474.24899999995</v>
      </c>
      <c r="O14" s="38"/>
      <c r="P14" s="38"/>
    </row>
    <row r="15" spans="1:31">
      <c r="A15" s="38"/>
      <c r="B15" s="67"/>
      <c r="C15" s="67"/>
      <c r="D15" s="203"/>
      <c r="E15" s="203"/>
      <c r="F15" s="38"/>
      <c r="G15" s="38"/>
      <c r="H15" s="38"/>
      <c r="I15" s="38"/>
      <c r="J15" s="38"/>
      <c r="K15" s="38"/>
      <c r="L15" s="38"/>
      <c r="M15" s="38"/>
      <c r="N15" s="38"/>
      <c r="O15" s="38"/>
      <c r="P15" s="38"/>
    </row>
    <row r="16" spans="1:31">
      <c r="A16" s="38"/>
      <c r="B16" s="894" t="s">
        <v>692</v>
      </c>
      <c r="C16" s="894"/>
      <c r="D16" s="894"/>
      <c r="E16" s="894"/>
      <c r="F16" s="894"/>
      <c r="G16" s="894"/>
      <c r="H16" s="38"/>
      <c r="I16" s="38"/>
      <c r="J16" s="38"/>
      <c r="K16" s="38"/>
      <c r="L16" s="38"/>
      <c r="M16" s="38"/>
      <c r="N16" s="38"/>
      <c r="O16" s="38"/>
      <c r="P16" s="38"/>
    </row>
    <row r="17" spans="1:16">
      <c r="A17" s="38"/>
      <c r="B17" s="894" t="s">
        <v>693</v>
      </c>
      <c r="C17" s="894"/>
      <c r="D17" s="894"/>
      <c r="E17" s="894"/>
      <c r="F17" s="894"/>
      <c r="G17" s="894"/>
      <c r="H17" s="38"/>
      <c r="I17" s="38"/>
      <c r="J17" s="38"/>
      <c r="K17" s="38"/>
      <c r="L17" s="38"/>
      <c r="M17" s="38"/>
      <c r="N17" s="38"/>
      <c r="O17" s="38"/>
      <c r="P17" s="38"/>
    </row>
    <row r="18" spans="1:16">
      <c r="A18" s="38"/>
      <c r="B18" s="894" t="s">
        <v>694</v>
      </c>
      <c r="C18" s="894"/>
      <c r="D18" s="894"/>
      <c r="E18" s="894"/>
      <c r="F18" s="894"/>
      <c r="G18" s="894"/>
      <c r="H18" s="38"/>
      <c r="I18" s="38"/>
      <c r="J18" s="38"/>
      <c r="K18" s="38"/>
      <c r="L18" s="38"/>
      <c r="M18" s="38"/>
      <c r="N18" s="38"/>
      <c r="O18" s="38"/>
      <c r="P18" s="38"/>
    </row>
    <row r="19" spans="1:16" ht="42" customHeight="1">
      <c r="A19" s="38"/>
      <c r="B19" s="884" t="s">
        <v>626</v>
      </c>
      <c r="C19" s="884"/>
      <c r="D19" s="884"/>
      <c r="E19" s="884"/>
      <c r="F19" s="884"/>
      <c r="G19" s="884"/>
      <c r="H19" s="38"/>
      <c r="I19" s="38"/>
      <c r="J19" s="38"/>
      <c r="K19" s="38"/>
      <c r="L19" s="38"/>
      <c r="M19" s="38"/>
      <c r="N19" s="38"/>
      <c r="O19" s="38"/>
      <c r="P19" s="38"/>
    </row>
    <row r="20" spans="1:16">
      <c r="A20"/>
    </row>
    <row r="21" spans="1:16" ht="15.6">
      <c r="A21" s="38"/>
      <c r="B21" s="81" t="s">
        <v>695</v>
      </c>
      <c r="C21" s="81"/>
      <c r="D21" s="632"/>
      <c r="E21" s="38"/>
      <c r="F21" s="38"/>
      <c r="G21" s="38"/>
      <c r="H21" s="38"/>
      <c r="I21" s="38"/>
      <c r="J21" s="38"/>
      <c r="K21" s="38"/>
      <c r="L21" s="753" t="s">
        <v>696</v>
      </c>
      <c r="M21" s="38"/>
      <c r="N21" s="38"/>
      <c r="O21" s="38"/>
      <c r="P21" s="38"/>
    </row>
    <row r="22" spans="1:16" ht="15.6">
      <c r="A22" s="38"/>
      <c r="B22" s="81"/>
      <c r="C22" s="81"/>
      <c r="D22" s="81"/>
      <c r="E22" s="38"/>
      <c r="F22" s="38"/>
      <c r="G22" s="38"/>
      <c r="H22" s="38"/>
      <c r="I22" s="38"/>
      <c r="J22" s="38"/>
      <c r="K22" s="38"/>
      <c r="L22" s="38"/>
      <c r="M22" s="38"/>
      <c r="N22" s="38"/>
      <c r="O22" s="38"/>
      <c r="P22" s="38"/>
    </row>
    <row r="23" spans="1:16" ht="14.4" customHeight="1">
      <c r="A23" s="38"/>
      <c r="B23" s="43"/>
      <c r="C23" s="62" t="s">
        <v>39</v>
      </c>
      <c r="D23" s="62" t="s">
        <v>40</v>
      </c>
      <c r="E23" s="62" t="s">
        <v>41</v>
      </c>
      <c r="F23" s="62" t="s">
        <v>42</v>
      </c>
      <c r="G23" s="62" t="s">
        <v>43</v>
      </c>
      <c r="H23" s="43" t="s">
        <v>96</v>
      </c>
      <c r="I23" s="43" t="s">
        <v>253</v>
      </c>
      <c r="J23" s="43" t="s">
        <v>254</v>
      </c>
      <c r="K23" s="633"/>
      <c r="L23" s="739"/>
      <c r="M23" s="739" t="s">
        <v>40</v>
      </c>
      <c r="N23" s="739" t="s">
        <v>41</v>
      </c>
      <c r="O23" s="739" t="s">
        <v>42</v>
      </c>
      <c r="P23" s="739" t="s">
        <v>43</v>
      </c>
    </row>
    <row r="24" spans="1:16">
      <c r="A24" s="38"/>
      <c r="B24" s="92" t="s">
        <v>697</v>
      </c>
      <c r="C24" s="93"/>
      <c r="D24" s="93"/>
      <c r="E24" s="634"/>
      <c r="F24" s="634"/>
      <c r="G24" s="634"/>
      <c r="H24" s="634"/>
      <c r="I24" s="634"/>
      <c r="J24" s="635"/>
      <c r="K24" s="142"/>
      <c r="L24" s="92" t="s">
        <v>697</v>
      </c>
      <c r="M24" s="93"/>
      <c r="N24" s="634"/>
      <c r="O24" s="634"/>
      <c r="P24" s="634"/>
    </row>
    <row r="25" spans="1:16">
      <c r="A25" s="38"/>
      <c r="B25" s="630" t="s">
        <v>698</v>
      </c>
      <c r="C25" s="68">
        <v>1200489</v>
      </c>
      <c r="D25" s="68">
        <v>1012363</v>
      </c>
      <c r="E25" s="204">
        <v>1216183.52</v>
      </c>
      <c r="F25" s="204">
        <v>1384698</v>
      </c>
      <c r="G25" s="204">
        <v>1669975</v>
      </c>
      <c r="H25" s="204">
        <v>1665878</v>
      </c>
      <c r="I25" s="204">
        <v>1648037</v>
      </c>
      <c r="J25" s="204">
        <v>1556157</v>
      </c>
      <c r="K25" s="38"/>
      <c r="L25" s="630" t="s">
        <v>698</v>
      </c>
      <c r="M25" s="68">
        <v>1012363</v>
      </c>
      <c r="N25" s="204">
        <v>1216183.52</v>
      </c>
      <c r="O25" s="204">
        <v>1384698</v>
      </c>
      <c r="P25" s="204">
        <v>1669975</v>
      </c>
    </row>
    <row r="26" spans="1:16">
      <c r="A26" s="38"/>
      <c r="B26" s="201" t="s">
        <v>675</v>
      </c>
      <c r="C26" s="68">
        <v>13281271</v>
      </c>
      <c r="D26" s="68">
        <v>11891091</v>
      </c>
      <c r="E26" s="68">
        <v>13742179</v>
      </c>
      <c r="F26" s="68">
        <v>15311742.050000001</v>
      </c>
      <c r="G26" s="68">
        <v>19246269</v>
      </c>
      <c r="H26" s="68">
        <v>21644622</v>
      </c>
      <c r="I26" s="68">
        <v>22255609</v>
      </c>
      <c r="J26" s="68">
        <v>24120329</v>
      </c>
      <c r="K26" s="38"/>
      <c r="L26" s="201" t="s">
        <v>675</v>
      </c>
      <c r="M26" s="68">
        <v>11891091</v>
      </c>
      <c r="N26" s="50">
        <v>13742179</v>
      </c>
      <c r="O26" s="68">
        <v>15311742.050000001</v>
      </c>
      <c r="P26" s="68">
        <v>19246269</v>
      </c>
    </row>
    <row r="27" spans="1:16">
      <c r="A27" s="38"/>
      <c r="B27" s="201" t="s">
        <v>678</v>
      </c>
      <c r="C27" s="68">
        <v>335934</v>
      </c>
      <c r="D27" s="68" t="s">
        <v>699</v>
      </c>
      <c r="E27" s="68" t="s">
        <v>700</v>
      </c>
      <c r="F27" s="68" t="s">
        <v>701</v>
      </c>
      <c r="G27" s="68" t="s">
        <v>702</v>
      </c>
      <c r="H27" s="68">
        <v>5189496</v>
      </c>
      <c r="I27" s="68">
        <v>5129175</v>
      </c>
      <c r="J27" s="68">
        <v>1577286</v>
      </c>
      <c r="K27" s="38"/>
      <c r="L27" s="201" t="s">
        <v>678</v>
      </c>
      <c r="M27" s="68">
        <v>110903</v>
      </c>
      <c r="N27" s="50">
        <v>295523.15999999997</v>
      </c>
      <c r="O27" s="68">
        <v>1499476</v>
      </c>
      <c r="P27" s="68">
        <v>2186021</v>
      </c>
    </row>
    <row r="28" spans="1:16">
      <c r="A28" s="38"/>
      <c r="B28" s="201" t="s">
        <v>683</v>
      </c>
      <c r="C28" s="68">
        <v>32507404</v>
      </c>
      <c r="D28" s="68" t="s">
        <v>703</v>
      </c>
      <c r="E28" s="68" t="s">
        <v>704</v>
      </c>
      <c r="F28" s="68" t="s">
        <v>705</v>
      </c>
      <c r="G28" s="68" t="s">
        <v>706</v>
      </c>
      <c r="H28" s="68">
        <v>60791065</v>
      </c>
      <c r="I28" s="68">
        <v>64878522</v>
      </c>
      <c r="J28" s="68">
        <v>69088256</v>
      </c>
      <c r="K28" s="38"/>
      <c r="L28" s="201" t="s">
        <v>683</v>
      </c>
      <c r="M28" s="68">
        <v>34776203</v>
      </c>
      <c r="N28" s="50">
        <v>33676625</v>
      </c>
      <c r="O28" s="68">
        <v>38522642</v>
      </c>
      <c r="P28" s="68">
        <v>52039389</v>
      </c>
    </row>
    <row r="29" spans="1:16">
      <c r="A29" s="38"/>
      <c r="B29" s="201" t="s">
        <v>707</v>
      </c>
      <c r="C29" s="68">
        <v>989975.45</v>
      </c>
      <c r="D29" s="68">
        <v>1022115</v>
      </c>
      <c r="E29" s="68">
        <v>1471260.45</v>
      </c>
      <c r="F29" s="68">
        <v>1593537.68</v>
      </c>
      <c r="G29" s="68">
        <v>1828237</v>
      </c>
      <c r="H29" s="68">
        <v>1695059</v>
      </c>
      <c r="I29" s="68">
        <v>1729655</v>
      </c>
      <c r="J29" s="68">
        <v>1824740</v>
      </c>
      <c r="K29" s="202"/>
      <c r="L29" s="201" t="s">
        <v>707</v>
      </c>
      <c r="M29" s="68">
        <v>1022115</v>
      </c>
      <c r="N29" s="68">
        <v>1471260.45</v>
      </c>
      <c r="O29" s="68">
        <v>1593537.68</v>
      </c>
      <c r="P29" s="68">
        <v>1828237</v>
      </c>
    </row>
    <row r="30" spans="1:16">
      <c r="A30" s="38"/>
      <c r="B30" s="201" t="s">
        <v>708</v>
      </c>
      <c r="C30" s="254"/>
      <c r="D30" s="254"/>
      <c r="E30" s="68">
        <v>119561</v>
      </c>
      <c r="F30" s="68">
        <v>96426.58</v>
      </c>
      <c r="G30" s="68">
        <v>42228</v>
      </c>
      <c r="H30" s="68">
        <v>102385</v>
      </c>
      <c r="I30" s="68">
        <v>180211</v>
      </c>
      <c r="J30" s="68">
        <v>331110</v>
      </c>
      <c r="K30" s="38"/>
      <c r="L30" s="201" t="s">
        <v>708</v>
      </c>
      <c r="M30" s="642"/>
      <c r="N30" s="68">
        <v>119561</v>
      </c>
      <c r="O30" s="68">
        <v>96426.58</v>
      </c>
      <c r="P30" s="68">
        <v>42228</v>
      </c>
    </row>
    <row r="31" spans="1:16">
      <c r="A31" s="151"/>
      <c r="B31" s="201" t="s">
        <v>709</v>
      </c>
      <c r="C31" s="68">
        <v>139566</v>
      </c>
      <c r="D31" s="68">
        <v>6748160</v>
      </c>
      <c r="E31" s="68">
        <v>6572464</v>
      </c>
      <c r="F31" s="68">
        <v>6924014</v>
      </c>
      <c r="G31" s="68">
        <v>7020219</v>
      </c>
      <c r="H31" s="68">
        <v>7887931</v>
      </c>
      <c r="I31" s="68">
        <v>8876288</v>
      </c>
      <c r="J31" s="68">
        <v>7859963</v>
      </c>
      <c r="K31" s="38"/>
      <c r="L31" s="201" t="s">
        <v>330</v>
      </c>
      <c r="M31" s="68">
        <v>6748160</v>
      </c>
      <c r="N31" s="68">
        <v>6572464</v>
      </c>
      <c r="O31" s="68">
        <v>6924014</v>
      </c>
      <c r="P31" s="68">
        <v>7020219</v>
      </c>
    </row>
    <row r="32" spans="1:16">
      <c r="A32" s="38"/>
      <c r="B32" s="201" t="s">
        <v>710</v>
      </c>
      <c r="C32" s="254"/>
      <c r="D32" s="254"/>
      <c r="E32" s="254"/>
      <c r="F32" s="254"/>
      <c r="G32" s="254"/>
      <c r="H32" s="254"/>
      <c r="I32" s="68">
        <v>7438</v>
      </c>
      <c r="J32" s="68">
        <v>6962</v>
      </c>
      <c r="K32" s="38"/>
      <c r="L32" s="201" t="s">
        <v>710</v>
      </c>
      <c r="M32" s="642"/>
      <c r="N32" s="642"/>
      <c r="O32" s="642"/>
      <c r="P32" s="642"/>
    </row>
    <row r="33" spans="1:19">
      <c r="A33" s="38"/>
      <c r="B33" s="201" t="s">
        <v>667</v>
      </c>
      <c r="C33" s="68">
        <v>2118208</v>
      </c>
      <c r="D33" s="68">
        <v>1216548</v>
      </c>
      <c r="E33" s="254"/>
      <c r="F33" s="254"/>
      <c r="G33" s="254"/>
      <c r="H33" s="254"/>
      <c r="I33" s="254"/>
      <c r="J33" s="254"/>
      <c r="K33" s="38"/>
      <c r="L33" s="201" t="s">
        <v>667</v>
      </c>
      <c r="M33" s="68">
        <v>1216548</v>
      </c>
      <c r="N33" s="642"/>
      <c r="O33" s="642"/>
      <c r="P33" s="642"/>
    </row>
    <row r="34" spans="1:19">
      <c r="A34" s="38"/>
      <c r="B34" s="201" t="s">
        <v>711</v>
      </c>
      <c r="C34" s="68">
        <v>55049</v>
      </c>
      <c r="D34" s="68">
        <v>60805</v>
      </c>
      <c r="E34" s="254"/>
      <c r="F34" s="254"/>
      <c r="G34" s="254"/>
      <c r="H34" s="254"/>
      <c r="I34" s="254"/>
      <c r="J34" s="254"/>
      <c r="K34" s="202"/>
      <c r="L34" s="201" t="s">
        <v>711</v>
      </c>
      <c r="M34" s="68">
        <v>60805</v>
      </c>
      <c r="N34" s="642"/>
      <c r="O34" s="642"/>
      <c r="P34" s="642"/>
    </row>
    <row r="35" spans="1:19">
      <c r="A35" s="38"/>
      <c r="B35" s="636" t="s">
        <v>61</v>
      </c>
      <c r="C35" s="637">
        <f>SUM(C25:C34)</f>
        <v>50627896.450000003</v>
      </c>
      <c r="D35" s="637">
        <f>SUM(335360,36049499,D25:D34)</f>
        <v>58335941</v>
      </c>
      <c r="E35" s="638">
        <f>SUM(496736,36719320,E25:E32)</f>
        <v>60337703.970000006</v>
      </c>
      <c r="F35" s="638">
        <f>SUM(1513228,39317479,F25:F32)</f>
        <v>66141125.309999995</v>
      </c>
      <c r="G35" s="638">
        <f>SUM(2224819,52130303,G25:G32)</f>
        <v>84162050</v>
      </c>
      <c r="H35" s="638">
        <f t="shared" ref="H35:J35" si="2">SUM(H25:H32)</f>
        <v>98976436</v>
      </c>
      <c r="I35" s="638">
        <f t="shared" si="2"/>
        <v>104704935</v>
      </c>
      <c r="J35" s="638">
        <f t="shared" si="2"/>
        <v>106364803</v>
      </c>
      <c r="K35" s="202"/>
      <c r="L35" s="636" t="s">
        <v>61</v>
      </c>
      <c r="M35" s="637">
        <v>56838188</v>
      </c>
      <c r="N35" s="638">
        <v>57093796.130000003</v>
      </c>
      <c r="O35" s="638">
        <v>65332536.309999995</v>
      </c>
      <c r="P35" s="638">
        <v>84032338</v>
      </c>
    </row>
    <row r="36" spans="1:19">
      <c r="A36" s="38"/>
      <c r="B36" s="636" t="s">
        <v>712</v>
      </c>
      <c r="C36" s="639">
        <f t="shared" ref="C36:I36" si="3">-1*(D35-C35)/D35</f>
        <v>-0.13213199989351329</v>
      </c>
      <c r="D36" s="639">
        <f t="shared" si="3"/>
        <v>-3.3175988449863553E-2</v>
      </c>
      <c r="E36" s="640">
        <f t="shared" si="3"/>
        <v>-8.774300879822737E-2</v>
      </c>
      <c r="F36" s="640">
        <f t="shared" si="3"/>
        <v>-0.21412174121233982</v>
      </c>
      <c r="G36" s="640">
        <f t="shared" si="3"/>
        <v>-0.1496758885114837</v>
      </c>
      <c r="H36" s="640">
        <f t="shared" si="3"/>
        <v>-5.4710878718371776E-2</v>
      </c>
      <c r="I36" s="640">
        <f t="shared" si="3"/>
        <v>-1.5605425415021922E-2</v>
      </c>
      <c r="J36" s="641"/>
      <c r="K36" s="38"/>
      <c r="L36" s="636" t="s">
        <v>712</v>
      </c>
      <c r="M36" s="639">
        <v>-4.4769860707456633E-3</v>
      </c>
      <c r="N36" s="640">
        <v>-0.12610470441416102</v>
      </c>
      <c r="O36" s="640">
        <v>-0.22253101764227964</v>
      </c>
      <c r="P36" s="640">
        <v>-0.15098642266731044</v>
      </c>
    </row>
    <row r="37" spans="1:19">
      <c r="A37" s="38"/>
      <c r="B37" s="92" t="s">
        <v>713</v>
      </c>
      <c r="C37" s="93"/>
      <c r="D37" s="93"/>
      <c r="E37" s="634"/>
      <c r="F37" s="634"/>
      <c r="G37" s="634"/>
      <c r="H37" s="634"/>
      <c r="I37" s="634"/>
      <c r="J37" s="635"/>
      <c r="K37" s="38"/>
      <c r="L37" s="92" t="s">
        <v>713</v>
      </c>
      <c r="M37" s="93"/>
      <c r="N37" s="634"/>
      <c r="O37" s="634"/>
      <c r="P37" s="634"/>
    </row>
    <row r="38" spans="1:19">
      <c r="A38" s="38"/>
      <c r="B38" s="201" t="s">
        <v>714</v>
      </c>
      <c r="C38" s="68">
        <f>C35</f>
        <v>50627896.450000003</v>
      </c>
      <c r="D38" s="68" t="s">
        <v>715</v>
      </c>
      <c r="E38" s="68" t="s">
        <v>716</v>
      </c>
      <c r="F38" s="68" t="s">
        <v>717</v>
      </c>
      <c r="G38" s="68" t="s">
        <v>718</v>
      </c>
      <c r="H38" s="50">
        <v>98976436</v>
      </c>
      <c r="I38" s="50">
        <v>104704935</v>
      </c>
      <c r="J38" s="50">
        <v>106364803</v>
      </c>
      <c r="K38" s="38"/>
      <c r="L38" s="201" t="s">
        <v>714</v>
      </c>
      <c r="M38" s="68">
        <v>56838188</v>
      </c>
      <c r="N38" s="50">
        <v>57093796.130000003</v>
      </c>
      <c r="O38" s="50">
        <v>65332536.309999995</v>
      </c>
      <c r="P38" s="50">
        <v>84032338</v>
      </c>
    </row>
    <row r="39" spans="1:19">
      <c r="A39" s="38"/>
      <c r="B39" s="201" t="s">
        <v>589</v>
      </c>
      <c r="C39" s="68">
        <v>93777.83</v>
      </c>
      <c r="D39" s="68">
        <v>85442.83333333327</v>
      </c>
      <c r="E39" s="68">
        <v>86463</v>
      </c>
      <c r="F39" s="68">
        <v>30427</v>
      </c>
      <c r="G39" s="642"/>
      <c r="H39" s="642"/>
      <c r="I39" s="642"/>
      <c r="J39" s="642"/>
      <c r="K39" s="38"/>
      <c r="L39" s="201" t="s">
        <v>589</v>
      </c>
      <c r="M39" s="68">
        <v>93777.83</v>
      </c>
      <c r="N39" s="50">
        <v>86463</v>
      </c>
      <c r="O39" s="50">
        <v>30427</v>
      </c>
      <c r="P39" s="642"/>
    </row>
    <row r="40" spans="1:19">
      <c r="A40" s="38"/>
      <c r="B40" s="201" t="s">
        <v>590</v>
      </c>
      <c r="C40" s="68">
        <f>C38*Emissions!C52</f>
        <v>9599049.1669200007</v>
      </c>
      <c r="D40" s="68" t="s">
        <v>719</v>
      </c>
      <c r="E40" s="68" t="s">
        <v>720</v>
      </c>
      <c r="F40" s="68" t="s">
        <v>721</v>
      </c>
      <c r="G40" s="68" t="s">
        <v>722</v>
      </c>
      <c r="H40" s="50">
        <v>15836229.76</v>
      </c>
      <c r="I40" s="50">
        <v>14658690.900000002</v>
      </c>
      <c r="J40" s="50">
        <v>13827424.390000001</v>
      </c>
      <c r="K40" s="38"/>
      <c r="L40" s="201" t="s">
        <v>590</v>
      </c>
      <c r="M40" s="68">
        <v>10594638.2432</v>
      </c>
      <c r="N40" s="50">
        <v>10569159.562302001</v>
      </c>
      <c r="O40" s="50">
        <v>12407400.7689</v>
      </c>
      <c r="P40" s="50">
        <v>15966144.220000001</v>
      </c>
    </row>
    <row r="41" spans="1:19">
      <c r="A41" s="38"/>
      <c r="B41" s="201" t="s">
        <v>723</v>
      </c>
      <c r="C41" s="68">
        <v>16518762</v>
      </c>
      <c r="D41" s="68" t="s">
        <v>724</v>
      </c>
      <c r="E41" s="68" t="s">
        <v>725</v>
      </c>
      <c r="F41" s="68" t="s">
        <v>726</v>
      </c>
      <c r="G41" s="68" t="s">
        <v>727</v>
      </c>
      <c r="H41" s="50">
        <f>H78</f>
        <v>3274463</v>
      </c>
      <c r="I41" s="50">
        <f>I78</f>
        <v>2387168</v>
      </c>
      <c r="J41" s="50">
        <f>J78</f>
        <v>1940689</v>
      </c>
      <c r="K41" s="38"/>
      <c r="L41" s="201" t="s">
        <v>723</v>
      </c>
      <c r="M41" s="68">
        <v>18755149.77</v>
      </c>
      <c r="N41" s="50">
        <v>22095888</v>
      </c>
      <c r="O41" s="50">
        <v>22306296</v>
      </c>
      <c r="P41" s="50">
        <v>12958224</v>
      </c>
    </row>
    <row r="42" spans="1:19">
      <c r="A42" s="38"/>
      <c r="B42" s="201" t="s">
        <v>728</v>
      </c>
      <c r="C42" s="68">
        <v>974548.64141569263</v>
      </c>
      <c r="D42" s="68">
        <v>686260.96658000001</v>
      </c>
      <c r="E42" s="68">
        <v>0</v>
      </c>
      <c r="F42" s="68">
        <v>0</v>
      </c>
      <c r="G42" s="50">
        <v>0</v>
      </c>
      <c r="H42" s="50">
        <v>0</v>
      </c>
      <c r="I42" s="50">
        <v>0</v>
      </c>
      <c r="J42" s="50">
        <v>0</v>
      </c>
      <c r="K42" s="38"/>
      <c r="L42" s="201" t="s">
        <v>728</v>
      </c>
      <c r="M42" s="68">
        <v>686260.96658000001</v>
      </c>
      <c r="N42" s="50">
        <v>0</v>
      </c>
      <c r="O42" s="50">
        <v>0</v>
      </c>
      <c r="P42" s="50">
        <v>0</v>
      </c>
    </row>
    <row r="43" spans="1:19">
      <c r="A43" s="38"/>
      <c r="B43" s="201" t="s">
        <v>729</v>
      </c>
      <c r="C43" s="68">
        <f>C38-C40</f>
        <v>41028847.283080004</v>
      </c>
      <c r="D43" s="68">
        <f>58335942-10873820</f>
        <v>47462122</v>
      </c>
      <c r="E43" s="68">
        <f>60337704-11186610</f>
        <v>49151094</v>
      </c>
      <c r="F43" s="68">
        <f>66110698-12561033</f>
        <v>53549665</v>
      </c>
      <c r="G43" s="68">
        <f>84162049-15990789</f>
        <v>68171260</v>
      </c>
      <c r="H43" s="50">
        <v>83140206.239999995</v>
      </c>
      <c r="I43" s="50">
        <v>90046244.099999994</v>
      </c>
      <c r="J43" s="50">
        <v>92537378.609999999</v>
      </c>
      <c r="K43" s="38"/>
      <c r="L43" s="201" t="s">
        <v>729</v>
      </c>
      <c r="M43" s="68">
        <v>46243549.756799996</v>
      </c>
      <c r="N43" s="50">
        <v>46438173.567698002</v>
      </c>
      <c r="O43" s="50">
        <v>52894708.541099995</v>
      </c>
      <c r="P43" s="50">
        <v>68066193.780000001</v>
      </c>
    </row>
    <row r="44" spans="1:19">
      <c r="A44" s="38"/>
      <c r="B44" s="73"/>
      <c r="C44" s="643"/>
      <c r="D44" s="754"/>
      <c r="E44" s="754"/>
      <c r="F44" s="754"/>
      <c r="G44" s="754"/>
      <c r="H44" s="754">
        <f>ROUND(H38,0)</f>
        <v>98976436</v>
      </c>
      <c r="I44" s="754">
        <f>ROUND(I38,0)</f>
        <v>104704935</v>
      </c>
      <c r="J44" s="754">
        <f>ROUND(J38,0)</f>
        <v>106364803</v>
      </c>
      <c r="K44" s="38"/>
      <c r="L44" s="73"/>
      <c r="M44" s="756"/>
      <c r="N44" s="205"/>
      <c r="O44" s="205"/>
      <c r="P44" s="205"/>
    </row>
    <row r="45" spans="1:19" ht="15" customHeight="1">
      <c r="A45" s="38"/>
      <c r="B45" s="829" t="s">
        <v>730</v>
      </c>
      <c r="C45" s="829"/>
      <c r="D45" s="829"/>
      <c r="E45" s="829"/>
      <c r="F45" s="829"/>
      <c r="G45" s="829"/>
      <c r="H45" s="829"/>
      <c r="I45" s="829"/>
      <c r="J45" s="829"/>
      <c r="K45" s="38"/>
      <c r="L45" s="102" t="s">
        <v>730</v>
      </c>
      <c r="M45" s="102"/>
      <c r="N45" s="102"/>
      <c r="O45" s="102"/>
      <c r="P45" s="102"/>
      <c r="Q45" s="790"/>
      <c r="R45" s="790"/>
      <c r="S45" s="790"/>
    </row>
    <row r="46" spans="1:19" ht="15" customHeight="1">
      <c r="A46" s="38"/>
      <c r="B46" s="829" t="s">
        <v>731</v>
      </c>
      <c r="C46" s="829"/>
      <c r="D46" s="829"/>
      <c r="E46" s="829"/>
      <c r="F46" s="829"/>
      <c r="G46" s="829"/>
      <c r="H46" s="829"/>
      <c r="I46" s="829"/>
      <c r="J46" s="829"/>
      <c r="K46" s="38"/>
      <c r="L46" s="829" t="s">
        <v>731</v>
      </c>
      <c r="M46" s="829"/>
      <c r="N46" s="829"/>
      <c r="O46" s="829"/>
      <c r="P46" s="829"/>
      <c r="Q46" s="829"/>
      <c r="R46" s="829"/>
      <c r="S46" s="829"/>
    </row>
    <row r="47" spans="1:19" ht="31.95" customHeight="1">
      <c r="A47" s="38"/>
      <c r="B47" s="829" t="s">
        <v>732</v>
      </c>
      <c r="C47" s="829"/>
      <c r="D47" s="829"/>
      <c r="E47" s="829"/>
      <c r="F47" s="829"/>
      <c r="G47" s="829"/>
      <c r="H47" s="829"/>
      <c r="I47" s="829"/>
      <c r="J47" s="829"/>
      <c r="K47" s="38"/>
      <c r="L47" s="829" t="s">
        <v>732</v>
      </c>
      <c r="M47" s="829"/>
      <c r="N47" s="829"/>
      <c r="O47" s="829"/>
      <c r="P47" s="829"/>
      <c r="Q47" s="829"/>
      <c r="R47" s="829"/>
      <c r="S47" s="829"/>
    </row>
    <row r="48" spans="1:19" ht="13.95" customHeight="1">
      <c r="A48" s="38"/>
      <c r="B48" s="829" t="s">
        <v>733</v>
      </c>
      <c r="C48" s="829"/>
      <c r="D48" s="829"/>
      <c r="E48" s="829"/>
      <c r="F48" s="829"/>
      <c r="G48" s="829"/>
      <c r="H48" s="829"/>
      <c r="I48" s="829"/>
      <c r="J48" s="829"/>
      <c r="K48" s="38"/>
      <c r="L48" s="38"/>
      <c r="M48" s="38"/>
      <c r="N48" s="38"/>
      <c r="O48" s="38"/>
      <c r="P48" s="38"/>
    </row>
    <row r="49" spans="1:19" ht="45" customHeight="1">
      <c r="A49" s="38"/>
      <c r="B49" s="892" t="s">
        <v>734</v>
      </c>
      <c r="C49" s="892"/>
      <c r="D49" s="892"/>
      <c r="E49" s="892"/>
      <c r="F49" s="892"/>
      <c r="G49" s="892"/>
      <c r="H49" s="621"/>
      <c r="I49" s="621"/>
      <c r="J49" s="621"/>
      <c r="K49" s="38"/>
      <c r="L49" s="38"/>
      <c r="M49" s="38"/>
      <c r="N49" s="38"/>
      <c r="O49" s="38"/>
      <c r="P49" s="38"/>
    </row>
    <row r="50" spans="1:19">
      <c r="A50" s="38"/>
      <c r="B50" s="88"/>
      <c r="C50" s="88"/>
      <c r="D50" s="88"/>
      <c r="E50" s="621"/>
      <c r="F50" s="621"/>
      <c r="G50" s="621"/>
      <c r="H50" s="621"/>
      <c r="I50" s="621"/>
      <c r="J50" s="621"/>
      <c r="K50" s="38"/>
      <c r="L50" s="38"/>
      <c r="M50" s="38"/>
      <c r="N50" s="38"/>
      <c r="O50" s="38"/>
      <c r="P50" s="38"/>
    </row>
    <row r="51" spans="1:19" ht="15.6">
      <c r="A51" s="38"/>
      <c r="B51" s="81" t="s">
        <v>735</v>
      </c>
      <c r="C51" s="81"/>
      <c r="D51" s="81"/>
      <c r="E51" s="206"/>
      <c r="F51" s="206"/>
      <c r="G51" s="206"/>
      <c r="H51" s="206"/>
      <c r="I51" s="206"/>
      <c r="J51" s="206"/>
      <c r="K51" s="206"/>
      <c r="L51" s="753" t="s">
        <v>736</v>
      </c>
      <c r="M51" s="81"/>
      <c r="N51" s="206"/>
      <c r="O51" s="206"/>
      <c r="P51" s="206"/>
      <c r="Q51" s="206"/>
      <c r="R51" s="206"/>
      <c r="S51" s="206"/>
    </row>
    <row r="52" spans="1:19" ht="15.6">
      <c r="A52" s="38"/>
      <c r="B52" s="81"/>
      <c r="C52" s="81"/>
      <c r="D52" s="81"/>
      <c r="E52" s="206"/>
      <c r="F52" s="206"/>
      <c r="G52" s="207"/>
      <c r="H52" s="207"/>
      <c r="I52" s="206"/>
      <c r="J52" s="206"/>
      <c r="K52" s="206"/>
      <c r="L52" s="81"/>
      <c r="M52" s="81"/>
      <c r="N52" s="206"/>
      <c r="O52" s="206"/>
      <c r="P52" s="207"/>
      <c r="Q52" s="207"/>
      <c r="R52" s="206"/>
      <c r="S52" s="206"/>
    </row>
    <row r="53" spans="1:19" ht="30.6">
      <c r="A53" s="38"/>
      <c r="B53" s="62"/>
      <c r="C53" s="62" t="s">
        <v>39</v>
      </c>
      <c r="D53" s="62" t="s">
        <v>40</v>
      </c>
      <c r="E53" s="62" t="s">
        <v>41</v>
      </c>
      <c r="F53" s="62" t="s">
        <v>42</v>
      </c>
      <c r="G53" s="62" t="s">
        <v>43</v>
      </c>
      <c r="H53" s="62" t="s">
        <v>96</v>
      </c>
      <c r="I53" s="62" t="s">
        <v>253</v>
      </c>
      <c r="J53" s="62" t="s">
        <v>254</v>
      </c>
      <c r="K53" s="633"/>
      <c r="L53" s="739"/>
      <c r="M53" s="739" t="s">
        <v>40</v>
      </c>
      <c r="N53" s="739" t="s">
        <v>41</v>
      </c>
      <c r="O53" s="739" t="s">
        <v>42</v>
      </c>
      <c r="P53" s="739" t="s">
        <v>43</v>
      </c>
      <c r="Q53" s="207"/>
      <c r="R53" s="206"/>
      <c r="S53" s="206"/>
    </row>
    <row r="54" spans="1:19">
      <c r="A54" s="38"/>
      <c r="B54" s="92" t="s">
        <v>675</v>
      </c>
      <c r="C54" s="93"/>
      <c r="D54" s="93"/>
      <c r="E54" s="94"/>
      <c r="F54" s="94"/>
      <c r="G54" s="94"/>
      <c r="H54" s="94"/>
      <c r="I54" s="94"/>
      <c r="J54" s="644"/>
      <c r="K54" s="60"/>
      <c r="L54" s="92" t="s">
        <v>675</v>
      </c>
      <c r="M54" s="93"/>
      <c r="N54" s="94"/>
      <c r="O54" s="94"/>
      <c r="P54" s="94"/>
      <c r="Q54" s="207"/>
      <c r="R54" s="206"/>
      <c r="S54" s="206"/>
    </row>
    <row r="55" spans="1:19">
      <c r="A55" s="38"/>
      <c r="B55" s="645" t="s">
        <v>737</v>
      </c>
      <c r="C55" s="68">
        <f>165562+89859</f>
        <v>255421</v>
      </c>
      <c r="D55" s="68">
        <v>254096</v>
      </c>
      <c r="E55" s="50">
        <v>259585</v>
      </c>
      <c r="F55" s="50">
        <v>265681</v>
      </c>
      <c r="G55" s="50">
        <v>289996</v>
      </c>
      <c r="H55" s="50">
        <v>310658</v>
      </c>
      <c r="I55" s="50">
        <v>313700</v>
      </c>
      <c r="J55" s="50">
        <v>320097</v>
      </c>
      <c r="K55" s="205"/>
      <c r="L55" s="645" t="s">
        <v>737</v>
      </c>
      <c r="M55" s="68">
        <v>254096</v>
      </c>
      <c r="N55" s="50">
        <v>259585</v>
      </c>
      <c r="O55" s="50">
        <v>265681</v>
      </c>
      <c r="P55" s="50">
        <v>289996</v>
      </c>
      <c r="Q55" s="623"/>
      <c r="R55" s="623"/>
      <c r="S55" s="623"/>
    </row>
    <row r="56" spans="1:19">
      <c r="A56" s="38"/>
      <c r="B56" s="57" t="s">
        <v>738</v>
      </c>
      <c r="C56" s="114">
        <v>1</v>
      </c>
      <c r="D56" s="114">
        <v>1</v>
      </c>
      <c r="E56" s="114">
        <v>1</v>
      </c>
      <c r="F56" s="98">
        <v>1</v>
      </c>
      <c r="G56" s="98">
        <v>1</v>
      </c>
      <c r="H56" s="98">
        <v>1</v>
      </c>
      <c r="I56" s="98">
        <v>1</v>
      </c>
      <c r="J56" s="98">
        <v>1</v>
      </c>
      <c r="K56" s="208"/>
      <c r="L56" s="57" t="s">
        <v>738</v>
      </c>
      <c r="M56" s="114">
        <v>1</v>
      </c>
      <c r="N56" s="114">
        <v>1</v>
      </c>
      <c r="O56" s="98">
        <v>1</v>
      </c>
      <c r="P56" s="98">
        <v>1</v>
      </c>
    </row>
    <row r="57" spans="1:19">
      <c r="A57" s="38"/>
      <c r="B57" s="58" t="s">
        <v>61</v>
      </c>
      <c r="C57" s="209">
        <v>52</v>
      </c>
      <c r="D57" s="209">
        <v>46.47</v>
      </c>
      <c r="E57" s="210">
        <v>56.47</v>
      </c>
      <c r="F57" s="210">
        <v>62.62</v>
      </c>
      <c r="G57" s="210">
        <v>70.91</v>
      </c>
      <c r="H57" s="210">
        <v>69.680000000000007</v>
      </c>
      <c r="I57" s="210">
        <v>70.959999999999994</v>
      </c>
      <c r="J57" s="210">
        <v>75.77</v>
      </c>
      <c r="K57" s="60"/>
      <c r="L57" s="58" t="s">
        <v>61</v>
      </c>
      <c r="M57" s="209">
        <v>46.47</v>
      </c>
      <c r="N57" s="210">
        <v>56.47</v>
      </c>
      <c r="O57" s="210">
        <v>62.62</v>
      </c>
      <c r="P57" s="210">
        <v>70.91</v>
      </c>
    </row>
    <row r="58" spans="1:19">
      <c r="A58" s="38"/>
      <c r="B58" s="58" t="s">
        <v>739</v>
      </c>
      <c r="C58" s="646">
        <f t="shared" ref="C58:I58" si="4">-1*(D57-C57)/D57</f>
        <v>0.11900150634818164</v>
      </c>
      <c r="D58" s="646">
        <f t="shared" si="4"/>
        <v>-0.17708517797060386</v>
      </c>
      <c r="E58" s="646">
        <f t="shared" si="4"/>
        <v>-9.821143404663045E-2</v>
      </c>
      <c r="F58" s="646">
        <f t="shared" si="4"/>
        <v>-0.11690875758003103</v>
      </c>
      <c r="G58" s="646">
        <f t="shared" si="4"/>
        <v>1.7652123995407429E-2</v>
      </c>
      <c r="H58" s="646">
        <f t="shared" si="4"/>
        <v>-1.8038331454340292E-2</v>
      </c>
      <c r="I58" s="646">
        <f t="shared" si="4"/>
        <v>-6.3481589019400847E-2</v>
      </c>
      <c r="J58" s="647"/>
      <c r="K58" s="60"/>
      <c r="L58" s="58" t="s">
        <v>739</v>
      </c>
      <c r="M58" s="646">
        <v>-0.17708517797060386</v>
      </c>
      <c r="N58" s="646">
        <v>-9.821143404663045E-2</v>
      </c>
      <c r="O58" s="646">
        <v>-0.11690875758003103</v>
      </c>
      <c r="P58" s="646">
        <v>1.7652123995407429E-2</v>
      </c>
    </row>
    <row r="59" spans="1:19">
      <c r="A59" s="38"/>
      <c r="B59" s="92" t="s">
        <v>683</v>
      </c>
      <c r="C59" s="93"/>
      <c r="D59" s="93"/>
      <c r="E59" s="94"/>
      <c r="F59" s="94"/>
      <c r="G59" s="94"/>
      <c r="H59" s="94"/>
      <c r="I59" s="94"/>
      <c r="J59" s="644"/>
      <c r="K59" s="205"/>
      <c r="L59" s="92" t="s">
        <v>683</v>
      </c>
      <c r="M59" s="93"/>
      <c r="N59" s="94"/>
      <c r="O59" s="94"/>
      <c r="P59" s="94"/>
    </row>
    <row r="60" spans="1:19">
      <c r="A60" s="38"/>
      <c r="B60" s="57" t="s">
        <v>643</v>
      </c>
      <c r="C60" s="68">
        <v>789615.43839999998</v>
      </c>
      <c r="D60" s="68">
        <v>858751</v>
      </c>
      <c r="E60" s="50">
        <v>933838</v>
      </c>
      <c r="F60" s="50">
        <v>994532</v>
      </c>
      <c r="G60" s="50">
        <v>1057562</v>
      </c>
      <c r="H60" s="50">
        <v>1056145</v>
      </c>
      <c r="I60" s="50">
        <v>1050411</v>
      </c>
      <c r="J60" s="50">
        <v>1047054</v>
      </c>
      <c r="K60" s="208"/>
      <c r="L60" s="57" t="s">
        <v>643</v>
      </c>
      <c r="M60" s="68">
        <v>858751</v>
      </c>
      <c r="N60" s="50">
        <v>933838</v>
      </c>
      <c r="O60" s="50">
        <v>994532</v>
      </c>
      <c r="P60" s="50">
        <v>1057562</v>
      </c>
    </row>
    <row r="61" spans="1:19">
      <c r="A61" s="38"/>
      <c r="B61" s="57" t="s">
        <v>738</v>
      </c>
      <c r="C61" s="114">
        <v>1</v>
      </c>
      <c r="D61" s="114">
        <v>1</v>
      </c>
      <c r="E61" s="114">
        <v>1</v>
      </c>
      <c r="F61" s="98">
        <v>1</v>
      </c>
      <c r="G61" s="98">
        <v>1</v>
      </c>
      <c r="H61" s="98">
        <v>1</v>
      </c>
      <c r="I61" s="98">
        <v>1</v>
      </c>
      <c r="J61" s="98">
        <v>1</v>
      </c>
      <c r="K61" s="60"/>
      <c r="L61" s="57" t="s">
        <v>738</v>
      </c>
      <c r="M61" s="114">
        <v>1</v>
      </c>
      <c r="N61" s="114">
        <v>1</v>
      </c>
      <c r="O61" s="98">
        <v>1</v>
      </c>
      <c r="P61" s="98">
        <v>1</v>
      </c>
    </row>
    <row r="62" spans="1:19">
      <c r="A62" s="38"/>
      <c r="B62" s="58" t="s">
        <v>61</v>
      </c>
      <c r="C62" s="209">
        <v>41.2</v>
      </c>
      <c r="D62" s="209" t="s">
        <v>740</v>
      </c>
      <c r="E62" s="209" t="s">
        <v>741</v>
      </c>
      <c r="F62" s="209" t="s">
        <v>742</v>
      </c>
      <c r="G62" s="209" t="s">
        <v>743</v>
      </c>
      <c r="H62" s="210">
        <v>57.32</v>
      </c>
      <c r="I62" s="210">
        <v>61.79</v>
      </c>
      <c r="J62" s="210">
        <v>65.98</v>
      </c>
      <c r="K62" s="60"/>
      <c r="L62" s="58" t="s">
        <v>61</v>
      </c>
      <c r="M62" s="210">
        <v>40.54</v>
      </c>
      <c r="N62" s="210">
        <v>36.1</v>
      </c>
      <c r="O62" s="210">
        <v>38.75</v>
      </c>
      <c r="P62" s="210">
        <v>49.15</v>
      </c>
    </row>
    <row r="63" spans="1:19">
      <c r="A63" s="38"/>
      <c r="B63" s="58" t="s">
        <v>739</v>
      </c>
      <c r="C63" s="646">
        <f>-1*(42.02-C62)/42.02</f>
        <v>-1.9514516896715853E-2</v>
      </c>
      <c r="D63" s="646">
        <f>-1*(39.2-42.02)/39.2</f>
        <v>7.1938775510204084E-2</v>
      </c>
      <c r="E63" s="646">
        <f>-1*(39.55-39.2)/39.55</f>
        <v>-8.8495575221237514E-3</v>
      </c>
      <c r="F63" s="646">
        <f>-1*(49.3-39.55)/49.3</f>
        <v>-0.19776876267748481</v>
      </c>
      <c r="G63" s="646">
        <f>-1*(57.32-49.3)/57.32</f>
        <v>-0.13991625959525478</v>
      </c>
      <c r="H63" s="646">
        <f t="shared" ref="H63:I63" si="5">-1*(I62-H62)/I62</f>
        <v>-7.2341802880725017E-2</v>
      </c>
      <c r="I63" s="646">
        <f t="shared" si="5"/>
        <v>-6.3504092149136174E-2</v>
      </c>
      <c r="J63" s="641"/>
      <c r="K63" s="205"/>
      <c r="L63" s="58" t="s">
        <v>739</v>
      </c>
      <c r="M63" s="646">
        <v>0.12299168975069245</v>
      </c>
      <c r="N63" s="646">
        <v>-6.8387096774193509E-2</v>
      </c>
      <c r="O63" s="646">
        <v>-0.21159715157680567</v>
      </c>
      <c r="P63" s="646">
        <v>-0.14253314724354504</v>
      </c>
    </row>
    <row r="64" spans="1:19">
      <c r="A64" s="38"/>
      <c r="B64" s="92" t="s">
        <v>744</v>
      </c>
      <c r="C64" s="93"/>
      <c r="D64" s="93"/>
      <c r="E64" s="94"/>
      <c r="F64" s="94"/>
      <c r="G64" s="94"/>
      <c r="H64" s="94"/>
      <c r="I64" s="94"/>
      <c r="J64" s="644"/>
      <c r="K64" s="208"/>
      <c r="L64" s="92" t="s">
        <v>744</v>
      </c>
      <c r="M64" s="93"/>
      <c r="N64" s="94"/>
      <c r="O64" s="94"/>
      <c r="P64" s="94"/>
    </row>
    <row r="65" spans="1:16">
      <c r="A65" s="38"/>
      <c r="B65" s="57" t="s">
        <v>745</v>
      </c>
      <c r="C65" s="68">
        <f>C55+C60</f>
        <v>1045036.4384</v>
      </c>
      <c r="D65" s="68">
        <f>D55+D60</f>
        <v>1112847</v>
      </c>
      <c r="E65" s="50">
        <v>1195061</v>
      </c>
      <c r="F65" s="50">
        <v>1260011</v>
      </c>
      <c r="G65" s="50">
        <v>1347613</v>
      </c>
      <c r="H65" s="50">
        <v>1366791</v>
      </c>
      <c r="I65" s="50">
        <v>1364156</v>
      </c>
      <c r="J65" s="50">
        <v>1365954</v>
      </c>
      <c r="K65" s="60"/>
      <c r="L65" s="57" t="s">
        <v>745</v>
      </c>
      <c r="M65" s="68">
        <v>1112847</v>
      </c>
      <c r="N65" s="50">
        <v>1195061</v>
      </c>
      <c r="O65" s="50">
        <v>1260011</v>
      </c>
      <c r="P65" s="50">
        <v>1347613</v>
      </c>
    </row>
    <row r="66" spans="1:16">
      <c r="A66" s="38"/>
      <c r="B66" s="57" t="s">
        <v>738</v>
      </c>
      <c r="C66" s="114">
        <v>1</v>
      </c>
      <c r="D66" s="114">
        <v>1</v>
      </c>
      <c r="E66" s="114">
        <v>1</v>
      </c>
      <c r="F66" s="98">
        <v>1</v>
      </c>
      <c r="G66" s="98">
        <v>1</v>
      </c>
      <c r="H66" s="98">
        <v>1</v>
      </c>
      <c r="I66" s="98">
        <v>1</v>
      </c>
      <c r="J66" s="98">
        <v>1</v>
      </c>
      <c r="K66" s="212"/>
      <c r="L66" s="57" t="s">
        <v>738</v>
      </c>
      <c r="M66" s="114">
        <v>1</v>
      </c>
      <c r="N66" s="114">
        <v>1</v>
      </c>
      <c r="O66" s="98">
        <v>1</v>
      </c>
      <c r="P66" s="98">
        <v>1</v>
      </c>
    </row>
    <row r="67" spans="1:16">
      <c r="A67" s="38"/>
      <c r="B67" s="58" t="s">
        <v>61</v>
      </c>
      <c r="C67" s="209">
        <f>((C57*C55)+(C62*C60))/(C55+C60)</f>
        <v>43.839665660102213</v>
      </c>
      <c r="D67" s="209" t="s">
        <v>746</v>
      </c>
      <c r="E67" s="209" t="s">
        <v>747</v>
      </c>
      <c r="F67" s="209" t="s">
        <v>748</v>
      </c>
      <c r="G67" s="209" t="s">
        <v>749</v>
      </c>
      <c r="H67" s="210">
        <v>60.13</v>
      </c>
      <c r="I67" s="210">
        <v>63.89</v>
      </c>
      <c r="J67" s="210">
        <v>68.260000000000005</v>
      </c>
      <c r="K67" s="623"/>
      <c r="L67" s="58" t="s">
        <v>61</v>
      </c>
      <c r="M67" s="210">
        <v>41.97</v>
      </c>
      <c r="N67" s="210">
        <v>40.479999999999997</v>
      </c>
      <c r="O67" s="210">
        <v>43.78</v>
      </c>
      <c r="P67" s="210">
        <v>53.83</v>
      </c>
    </row>
    <row r="68" spans="1:16">
      <c r="A68" s="38"/>
      <c r="B68" s="58" t="s">
        <v>739</v>
      </c>
      <c r="C68" s="646">
        <f>-1*(41.97-C67)/41.97</f>
        <v>4.4547668813490926E-2</v>
      </c>
      <c r="D68" s="750">
        <f>-1*(40.48-41.97)/40.48</f>
        <v>3.6808300395256968E-2</v>
      </c>
      <c r="E68" s="750">
        <f>-1*(43.78-40.48)/43.78</f>
        <v>-7.5376884422110643E-2</v>
      </c>
      <c r="F68" s="750">
        <f>-1*(53.83-43.78)/53.83</f>
        <v>-0.18669886680289796</v>
      </c>
      <c r="G68" s="750">
        <f>-1*(60.13-53.83)/60.13</f>
        <v>-0.10477299185098959</v>
      </c>
      <c r="H68" s="63">
        <f t="shared" ref="H68:I68" si="6">-1*(I67-H67)/I67</f>
        <v>-5.8851150414775365E-2</v>
      </c>
      <c r="I68" s="63">
        <f t="shared" si="6"/>
        <v>-6.4019923820685679E-2</v>
      </c>
      <c r="J68" s="641"/>
      <c r="K68" s="623"/>
      <c r="L68" s="58" t="s">
        <v>739</v>
      </c>
      <c r="M68" s="646">
        <v>3.6808300395256968E-2</v>
      </c>
      <c r="N68" s="63">
        <v>-7.5376884422110643E-2</v>
      </c>
      <c r="O68" s="63">
        <v>-0.18669886680289796</v>
      </c>
      <c r="P68" s="63">
        <v>-0.10477299185098959</v>
      </c>
    </row>
    <row r="69" spans="1:16">
      <c r="A69" s="38"/>
      <c r="B69" s="73"/>
      <c r="C69" s="692"/>
      <c r="D69" s="692"/>
      <c r="E69" s="692"/>
      <c r="F69" s="692"/>
      <c r="G69" s="692"/>
      <c r="H69" s="207"/>
      <c r="I69" s="206"/>
      <c r="J69" s="206"/>
      <c r="K69" s="206"/>
      <c r="L69" s="73"/>
      <c r="M69" s="73"/>
      <c r="N69" s="206"/>
      <c r="O69" s="206"/>
      <c r="P69" s="207"/>
    </row>
    <row r="70" spans="1:16">
      <c r="A70" s="38"/>
      <c r="B70" s="73" t="s">
        <v>750</v>
      </c>
      <c r="C70" s="73"/>
      <c r="D70" s="73"/>
      <c r="E70" s="206"/>
      <c r="F70" s="648"/>
      <c r="G70" s="207"/>
      <c r="H70" s="207"/>
      <c r="I70" s="206"/>
      <c r="J70" s="206"/>
      <c r="K70" s="206"/>
      <c r="L70" s="887" t="s">
        <v>750</v>
      </c>
      <c r="M70" s="887"/>
      <c r="N70" s="887"/>
      <c r="O70" s="887"/>
      <c r="P70" s="887"/>
    </row>
    <row r="71" spans="1:16">
      <c r="A71" s="38"/>
      <c r="B71" s="888" t="s">
        <v>751</v>
      </c>
      <c r="C71" s="888"/>
      <c r="D71" s="888"/>
      <c r="E71" s="888"/>
      <c r="F71" s="888"/>
      <c r="G71" s="888"/>
      <c r="H71" s="888"/>
      <c r="I71" s="888"/>
      <c r="J71" s="888"/>
      <c r="K71" s="623"/>
      <c r="L71" s="888" t="s">
        <v>751</v>
      </c>
      <c r="M71" s="888"/>
      <c r="N71" s="888"/>
      <c r="O71" s="888"/>
      <c r="P71" s="888"/>
    </row>
    <row r="72" spans="1:16" ht="43.05" customHeight="1">
      <c r="A72" s="38"/>
      <c r="B72" s="884" t="s">
        <v>535</v>
      </c>
      <c r="C72" s="884"/>
      <c r="D72" s="884"/>
      <c r="E72" s="884"/>
      <c r="F72" s="884"/>
      <c r="G72" s="884"/>
      <c r="H72" s="207"/>
      <c r="I72" s="206"/>
      <c r="J72" s="206"/>
      <c r="K72" s="206"/>
      <c r="L72" s="38"/>
      <c r="M72" s="38"/>
      <c r="N72" s="38"/>
      <c r="O72" s="38"/>
      <c r="P72" s="38"/>
    </row>
    <row r="73" spans="1:16">
      <c r="A73"/>
    </row>
    <row r="74" spans="1:16" ht="18">
      <c r="A74" s="38"/>
      <c r="B74" s="632" t="s">
        <v>752</v>
      </c>
      <c r="C74" s="81"/>
      <c r="D74" s="81"/>
      <c r="E74" s="38"/>
      <c r="F74" s="38"/>
      <c r="G74" s="38"/>
      <c r="H74" s="38"/>
      <c r="I74" s="38"/>
      <c r="J74" s="38"/>
      <c r="K74" s="38"/>
      <c r="L74" s="38"/>
      <c r="M74" s="38"/>
      <c r="N74" s="38"/>
      <c r="O74" s="38"/>
      <c r="P74" s="38"/>
    </row>
    <row r="75" spans="1:16" ht="15.6">
      <c r="A75" s="38"/>
      <c r="B75" s="81"/>
      <c r="C75" s="81"/>
      <c r="D75" s="81"/>
      <c r="E75" s="38"/>
      <c r="F75" s="38"/>
      <c r="G75" s="38"/>
      <c r="H75" s="38"/>
      <c r="I75" s="38"/>
      <c r="J75" s="38"/>
      <c r="K75" s="38"/>
      <c r="L75" s="38"/>
      <c r="M75" s="38"/>
      <c r="N75" s="38"/>
      <c r="O75" s="38"/>
      <c r="P75" s="38"/>
    </row>
    <row r="76" spans="1:16" ht="30.6">
      <c r="A76" s="38"/>
      <c r="B76" s="649"/>
      <c r="C76" s="62" t="s">
        <v>39</v>
      </c>
      <c r="D76" s="62" t="s">
        <v>40</v>
      </c>
      <c r="E76" s="62" t="s">
        <v>41</v>
      </c>
      <c r="F76" s="62" t="s">
        <v>42</v>
      </c>
      <c r="G76" s="62" t="s">
        <v>43</v>
      </c>
      <c r="H76" s="62" t="s">
        <v>96</v>
      </c>
      <c r="I76" s="62" t="s">
        <v>253</v>
      </c>
      <c r="J76" s="62" t="s">
        <v>254</v>
      </c>
      <c r="K76" s="633"/>
      <c r="L76" s="38"/>
      <c r="M76" s="38"/>
      <c r="N76" s="38"/>
      <c r="O76" s="38"/>
      <c r="P76" s="38"/>
    </row>
    <row r="77" spans="1:16">
      <c r="A77" s="38"/>
      <c r="B77" s="92" t="s">
        <v>683</v>
      </c>
      <c r="C77" s="93"/>
      <c r="D77" s="93"/>
      <c r="E77" s="94"/>
      <c r="F77" s="94"/>
      <c r="G77" s="94"/>
      <c r="H77" s="94"/>
      <c r="I77" s="94"/>
      <c r="J77" s="644"/>
      <c r="K77" s="60"/>
      <c r="L77" s="38"/>
      <c r="M77" s="38"/>
      <c r="N77" s="38"/>
      <c r="O77" s="38"/>
      <c r="P77" s="38"/>
    </row>
    <row r="78" spans="1:16">
      <c r="A78" s="38"/>
      <c r="B78" s="246" t="s">
        <v>753</v>
      </c>
      <c r="C78" s="68">
        <v>13636402.070502345</v>
      </c>
      <c r="D78" s="68">
        <v>16431631</v>
      </c>
      <c r="E78" s="68">
        <v>19550962</v>
      </c>
      <c r="F78" s="68">
        <v>21464954</v>
      </c>
      <c r="G78" s="68">
        <v>12880957</v>
      </c>
      <c r="H78" s="50">
        <v>3274463</v>
      </c>
      <c r="I78" s="213">
        <v>2387168</v>
      </c>
      <c r="J78" s="50">
        <v>1940689</v>
      </c>
      <c r="K78" s="205"/>
      <c r="L78" s="38"/>
      <c r="M78" s="38"/>
      <c r="N78" s="38"/>
      <c r="O78" s="38"/>
      <c r="P78" s="38"/>
    </row>
    <row r="79" spans="1:16">
      <c r="A79" s="38"/>
      <c r="B79" s="246" t="s">
        <v>754</v>
      </c>
      <c r="C79" s="650">
        <f t="shared" ref="C79:J79" si="7">C78/(C78+C28)</f>
        <v>0.29551966410546016</v>
      </c>
      <c r="D79" s="650">
        <f>D78/(D78+36049499)</f>
        <v>0.31309598326103116</v>
      </c>
      <c r="E79" s="650">
        <f>E78/(E78+36719320)</f>
        <v>0.34744737906236189</v>
      </c>
      <c r="F79" s="650">
        <f>F78/(F78+39317479)</f>
        <v>0.35314404081192341</v>
      </c>
      <c r="G79" s="650">
        <f>G78/(G78+52130303)</f>
        <v>0.19813424628287468</v>
      </c>
      <c r="H79" s="650">
        <f t="shared" si="7"/>
        <v>5.1111152943280197E-2</v>
      </c>
      <c r="I79" s="650">
        <f t="shared" si="7"/>
        <v>3.5488642129442215E-2</v>
      </c>
      <c r="J79" s="650">
        <f t="shared" si="7"/>
        <v>2.7322509154542561E-2</v>
      </c>
      <c r="K79" s="205"/>
      <c r="L79" s="214"/>
      <c r="M79" s="38"/>
      <c r="N79" s="38"/>
      <c r="O79" s="38"/>
      <c r="P79" s="38"/>
    </row>
    <row r="80" spans="1:16">
      <c r="A80" s="38"/>
      <c r="B80" s="246" t="s">
        <v>755</v>
      </c>
      <c r="C80" s="68">
        <v>12236</v>
      </c>
      <c r="D80" s="68">
        <v>13921</v>
      </c>
      <c r="E80" s="68">
        <v>16893</v>
      </c>
      <c r="F80" s="50">
        <v>16781</v>
      </c>
      <c r="G80" s="50">
        <v>16400</v>
      </c>
      <c r="H80" s="50">
        <v>4360</v>
      </c>
      <c r="I80" s="213">
        <v>2260</v>
      </c>
      <c r="J80" s="50">
        <v>1360</v>
      </c>
      <c r="K80" s="205"/>
      <c r="L80" s="38"/>
      <c r="M80" s="38"/>
      <c r="N80" s="38"/>
      <c r="O80" s="38"/>
      <c r="P80" s="38"/>
    </row>
    <row r="81" spans="1:16">
      <c r="A81" s="38"/>
      <c r="B81" s="92" t="s">
        <v>678</v>
      </c>
      <c r="C81" s="93"/>
      <c r="D81" s="93"/>
      <c r="E81" s="94"/>
      <c r="F81" s="94"/>
      <c r="G81" s="94"/>
      <c r="H81" s="94"/>
      <c r="I81" s="94"/>
      <c r="J81" s="644"/>
      <c r="K81" s="60"/>
      <c r="L81" s="38"/>
      <c r="M81" s="38"/>
      <c r="N81" s="38"/>
      <c r="O81" s="38"/>
      <c r="P81" s="38"/>
    </row>
    <row r="82" spans="1:16">
      <c r="A82" s="38"/>
      <c r="B82" s="246" t="s">
        <v>753</v>
      </c>
      <c r="C82" s="68">
        <v>700540.72977609176</v>
      </c>
      <c r="D82" s="68">
        <v>801567</v>
      </c>
      <c r="E82" s="68">
        <v>872280</v>
      </c>
      <c r="F82" s="68">
        <v>46361</v>
      </c>
      <c r="G82" s="50" t="s">
        <v>541</v>
      </c>
      <c r="H82" s="50" t="s">
        <v>541</v>
      </c>
      <c r="I82" s="213" t="s">
        <v>541</v>
      </c>
      <c r="J82" s="50" t="s">
        <v>541</v>
      </c>
      <c r="K82" s="205"/>
      <c r="L82" s="38"/>
      <c r="M82" s="38"/>
      <c r="N82" s="38"/>
      <c r="O82" s="38"/>
      <c r="P82" s="38"/>
    </row>
    <row r="83" spans="1:16">
      <c r="A83" s="38"/>
      <c r="B83" s="156" t="s">
        <v>754</v>
      </c>
      <c r="C83" s="650">
        <f>C82/(C82+C27)</f>
        <v>0.67588790122015674</v>
      </c>
      <c r="D83" s="650">
        <f>D82/(D82+335360)</f>
        <v>0.70502943460749901</v>
      </c>
      <c r="E83" s="650">
        <f>E82/(E82+496736)</f>
        <v>0.63715836776195456</v>
      </c>
      <c r="F83" s="650">
        <f>F82/(F82+1513228)</f>
        <v>2.9726421512334341E-2</v>
      </c>
      <c r="G83" s="50" t="s">
        <v>541</v>
      </c>
      <c r="H83" s="50" t="s">
        <v>541</v>
      </c>
      <c r="I83" s="213" t="s">
        <v>541</v>
      </c>
      <c r="J83" s="50" t="s">
        <v>541</v>
      </c>
      <c r="K83" s="205"/>
      <c r="L83" s="651"/>
      <c r="M83" s="38"/>
      <c r="N83" s="38"/>
      <c r="O83" s="38"/>
      <c r="P83" s="38"/>
    </row>
    <row r="84" spans="1:16">
      <c r="A84" s="38"/>
      <c r="B84" s="156" t="s">
        <v>755</v>
      </c>
      <c r="C84" s="68">
        <v>869</v>
      </c>
      <c r="D84" s="68">
        <v>770</v>
      </c>
      <c r="E84" s="68">
        <v>770</v>
      </c>
      <c r="F84" s="50">
        <v>770</v>
      </c>
      <c r="G84" s="50" t="s">
        <v>541</v>
      </c>
      <c r="H84" s="50" t="s">
        <v>541</v>
      </c>
      <c r="I84" s="213" t="s">
        <v>541</v>
      </c>
      <c r="J84" s="50" t="s">
        <v>541</v>
      </c>
      <c r="K84" s="205"/>
      <c r="L84" s="38"/>
      <c r="M84" s="38"/>
      <c r="N84" s="38"/>
      <c r="O84" s="38"/>
      <c r="P84" s="38"/>
    </row>
    <row r="85" spans="1:16">
      <c r="A85" s="38"/>
      <c r="B85" s="92" t="s">
        <v>756</v>
      </c>
      <c r="C85" s="93"/>
      <c r="D85" s="93"/>
      <c r="E85" s="94"/>
      <c r="F85" s="94"/>
      <c r="G85" s="94"/>
      <c r="H85" s="94"/>
      <c r="I85" s="94"/>
      <c r="J85" s="644"/>
      <c r="K85" s="206"/>
      <c r="L85" s="38"/>
      <c r="M85" s="38"/>
      <c r="N85" s="38"/>
      <c r="O85" s="38"/>
      <c r="P85" s="38"/>
    </row>
    <row r="86" spans="1:16">
      <c r="A86" s="38"/>
      <c r="B86" s="246" t="s">
        <v>753</v>
      </c>
      <c r="C86" s="68">
        <v>541349.84</v>
      </c>
      <c r="D86" s="68">
        <v>484217.96658000001</v>
      </c>
      <c r="E86" s="641"/>
      <c r="F86" s="641"/>
      <c r="G86" s="641"/>
      <c r="H86" s="641"/>
      <c r="I86" s="641"/>
      <c r="J86" s="641"/>
      <c r="K86" s="623"/>
      <c r="L86" s="38"/>
      <c r="M86" s="38"/>
      <c r="N86" s="38"/>
      <c r="O86" s="38"/>
      <c r="P86" s="38"/>
    </row>
    <row r="87" spans="1:16">
      <c r="A87" s="38"/>
      <c r="B87" s="156" t="s">
        <v>754</v>
      </c>
      <c r="C87" s="650">
        <f>C86/(C86+C26)</f>
        <v>3.9164051902041461E-2</v>
      </c>
      <c r="D87" s="650">
        <f>D86/(D86+D26)</f>
        <v>3.9127747669787424E-2</v>
      </c>
      <c r="E87" s="641"/>
      <c r="F87" s="641"/>
      <c r="G87" s="641"/>
      <c r="H87" s="641"/>
      <c r="I87" s="641"/>
      <c r="J87" s="641"/>
      <c r="K87" s="623"/>
      <c r="L87" s="38"/>
      <c r="M87" s="38"/>
      <c r="N87" s="38"/>
      <c r="O87" s="38"/>
      <c r="P87" s="38"/>
    </row>
    <row r="88" spans="1:16">
      <c r="A88" s="38"/>
      <c r="B88" s="156" t="s">
        <v>755</v>
      </c>
      <c r="C88" s="68">
        <v>504</v>
      </c>
      <c r="D88" s="68">
        <v>503</v>
      </c>
      <c r="E88" s="641"/>
      <c r="F88" s="641"/>
      <c r="G88" s="641"/>
      <c r="H88" s="641"/>
      <c r="I88" s="641"/>
      <c r="J88" s="641"/>
      <c r="K88" s="623"/>
      <c r="L88" s="38"/>
      <c r="M88" s="38"/>
      <c r="N88" s="38"/>
      <c r="O88" s="38"/>
      <c r="P88" s="38"/>
    </row>
    <row r="89" spans="1:16">
      <c r="A89" s="38"/>
      <c r="B89" s="58" t="s">
        <v>757</v>
      </c>
      <c r="C89" s="63">
        <f>(C78+C82+C86)/(C78+C82+C86+C26+C27+C28)</f>
        <v>0.24389483516722971</v>
      </c>
      <c r="D89" s="63">
        <f>(D78+D82+D86)/(D78+D82+D86+D26+335360+36049499)</f>
        <v>0.2684726821716043</v>
      </c>
      <c r="E89" s="63">
        <f>(E78+E82)/(E82+E78+E26+496736+36719320)</f>
        <v>0.28611402927400897</v>
      </c>
      <c r="F89" s="63">
        <f>(F78+F82)/(F82+F78+F26+1513228+39317479)</f>
        <v>0.27701574113199734</v>
      </c>
      <c r="G89" s="63">
        <f>G78/(G78+G26+2224819+52130303)</f>
        <v>0.1489431924304368</v>
      </c>
      <c r="H89" s="63">
        <f>H78/(H78+H26+H27+H28)</f>
        <v>3.6022835556477305E-2</v>
      </c>
      <c r="I89" s="63">
        <f>I78/(I78+I26+I27+I28)</f>
        <v>2.5220877393598684E-2</v>
      </c>
      <c r="J89" s="63">
        <f>J78/(J78+J26+J27+J28)</f>
        <v>2.0063661935253357E-2</v>
      </c>
      <c r="K89" s="623"/>
      <c r="L89" s="38"/>
      <c r="M89" s="38"/>
      <c r="N89" s="38"/>
      <c r="O89" s="38"/>
      <c r="P89" s="38"/>
    </row>
    <row r="90" spans="1:16">
      <c r="A90" s="38"/>
      <c r="B90" s="92" t="s">
        <v>758</v>
      </c>
      <c r="C90" s="92"/>
      <c r="D90" s="92"/>
      <c r="E90" s="92"/>
      <c r="F90" s="92"/>
      <c r="G90" s="92"/>
      <c r="H90" s="652"/>
      <c r="I90" s="652"/>
      <c r="J90" s="653"/>
      <c r="K90" s="623"/>
      <c r="L90" s="38"/>
      <c r="M90" s="38"/>
      <c r="N90" s="38"/>
      <c r="O90" s="38"/>
      <c r="P90" s="38"/>
    </row>
    <row r="91" spans="1:16">
      <c r="A91" s="38"/>
      <c r="B91" s="246" t="s">
        <v>753</v>
      </c>
      <c r="C91" s="68">
        <v>42505</v>
      </c>
      <c r="D91" s="68">
        <v>162279</v>
      </c>
      <c r="E91" s="254"/>
      <c r="F91" s="254"/>
      <c r="G91" s="254"/>
      <c r="H91" s="254"/>
      <c r="I91" s="254"/>
      <c r="J91" s="254"/>
      <c r="K91" s="623"/>
      <c r="L91" s="38"/>
      <c r="M91" s="38"/>
      <c r="N91" s="38"/>
      <c r="O91" s="38"/>
      <c r="P91" s="38"/>
    </row>
    <row r="92" spans="1:16">
      <c r="A92" s="38"/>
      <c r="B92" s="246" t="s">
        <v>759</v>
      </c>
      <c r="C92" s="650">
        <f>C91/(C91+C31)</f>
        <v>0.2334528837651246</v>
      </c>
      <c r="D92" s="650">
        <f>D91/(D91+D31)</f>
        <v>2.3483168001338265E-2</v>
      </c>
      <c r="E92" s="254"/>
      <c r="F92" s="254"/>
      <c r="G92" s="254"/>
      <c r="H92" s="254"/>
      <c r="I92" s="254"/>
      <c r="J92" s="254"/>
      <c r="K92" s="623"/>
      <c r="L92" s="38"/>
      <c r="M92" s="38"/>
      <c r="N92" s="38"/>
      <c r="O92" s="38"/>
      <c r="P92" s="38"/>
    </row>
    <row r="93" spans="1:16">
      <c r="A93" s="38"/>
      <c r="B93" s="92" t="s">
        <v>667</v>
      </c>
      <c r="C93" s="93"/>
      <c r="D93" s="93"/>
      <c r="E93" s="94"/>
      <c r="F93" s="94"/>
      <c r="G93" s="94"/>
      <c r="H93" s="94"/>
      <c r="I93" s="94"/>
      <c r="J93" s="644"/>
      <c r="K93" s="623"/>
      <c r="L93" s="38"/>
      <c r="M93" s="38"/>
      <c r="N93" s="38"/>
      <c r="O93" s="38"/>
      <c r="P93" s="38"/>
    </row>
    <row r="94" spans="1:16">
      <c r="A94" s="38"/>
      <c r="B94" s="246" t="s">
        <v>753</v>
      </c>
      <c r="C94" s="68">
        <v>186019.61</v>
      </c>
      <c r="D94" s="68">
        <v>39764</v>
      </c>
      <c r="E94" s="641"/>
      <c r="F94" s="641"/>
      <c r="G94" s="641"/>
      <c r="H94" s="641"/>
      <c r="I94" s="641"/>
      <c r="J94" s="641"/>
      <c r="K94" s="623"/>
      <c r="L94" s="38"/>
      <c r="M94" s="38"/>
      <c r="N94" s="38"/>
      <c r="O94" s="38"/>
      <c r="P94" s="38"/>
    </row>
    <row r="95" spans="1:16">
      <c r="A95" s="38"/>
      <c r="B95" s="156" t="s">
        <v>760</v>
      </c>
      <c r="C95" s="650">
        <f>C94/(C94+C33)</f>
        <v>8.0729702739739326E-2</v>
      </c>
      <c r="D95" s="650">
        <f>D94/(D94+D33)</f>
        <v>3.1651373225759206E-2</v>
      </c>
      <c r="E95" s="641"/>
      <c r="F95" s="641"/>
      <c r="G95" s="641"/>
      <c r="H95" s="641"/>
      <c r="I95" s="641"/>
      <c r="J95" s="641"/>
      <c r="K95" s="623"/>
      <c r="L95" s="38"/>
      <c r="M95" s="38"/>
      <c r="N95" s="38"/>
      <c r="O95" s="38"/>
      <c r="P95" s="38"/>
    </row>
    <row r="96" spans="1:16">
      <c r="A96" s="38"/>
      <c r="B96" s="88"/>
      <c r="C96" s="785"/>
      <c r="D96" s="785"/>
      <c r="E96" s="786"/>
      <c r="F96" s="786"/>
      <c r="G96" s="786"/>
      <c r="H96" s="786"/>
      <c r="I96" s="786"/>
      <c r="J96" s="786"/>
      <c r="K96" s="623"/>
      <c r="L96" s="38"/>
      <c r="M96" s="38"/>
      <c r="N96" s="38"/>
      <c r="O96" s="38"/>
      <c r="P96" s="38"/>
    </row>
    <row r="97" spans="1:16">
      <c r="A97" s="38"/>
      <c r="B97" s="654" t="s">
        <v>761</v>
      </c>
      <c r="C97" s="623"/>
      <c r="D97" s="623"/>
      <c r="E97" s="623"/>
      <c r="F97" s="623"/>
      <c r="G97" s="623"/>
      <c r="H97" s="623"/>
      <c r="I97" s="623"/>
      <c r="J97" s="623"/>
      <c r="K97" s="623"/>
      <c r="L97" s="38"/>
      <c r="M97" s="38"/>
      <c r="N97" s="38"/>
      <c r="O97" s="38"/>
      <c r="P97" s="38"/>
    </row>
    <row r="98" spans="1:16">
      <c r="A98" s="38"/>
      <c r="B98" s="654" t="s">
        <v>762</v>
      </c>
      <c r="C98" s="654"/>
      <c r="D98" s="654"/>
      <c r="E98" s="654"/>
      <c r="F98" s="654"/>
      <c r="G98" s="654"/>
      <c r="H98" s="623"/>
      <c r="I98" s="623"/>
      <c r="J98" s="623"/>
      <c r="K98" s="623"/>
      <c r="L98" s="38"/>
      <c r="M98" s="38"/>
      <c r="N98" s="38"/>
      <c r="O98" s="38"/>
      <c r="P98" s="38"/>
    </row>
    <row r="99" spans="1:16">
      <c r="A99" s="38"/>
      <c r="B99" s="654"/>
      <c r="C99" s="654"/>
      <c r="D99" s="654"/>
      <c r="E99" s="654"/>
      <c r="F99" s="654"/>
      <c r="G99" s="654"/>
      <c r="H99" s="623"/>
      <c r="I99" s="623"/>
      <c r="J99" s="623"/>
      <c r="K99" s="623"/>
      <c r="L99" s="38"/>
      <c r="M99" s="38"/>
      <c r="N99" s="38"/>
      <c r="O99" s="38"/>
      <c r="P99" s="38"/>
    </row>
    <row r="100" spans="1:16" ht="15.6">
      <c r="A100" s="38"/>
      <c r="B100" s="81" t="s">
        <v>763</v>
      </c>
      <c r="C100" s="81"/>
      <c r="D100" s="81"/>
      <c r="E100" s="38"/>
      <c r="F100" s="38"/>
      <c r="G100" s="38"/>
      <c r="H100" s="38"/>
      <c r="I100" s="38"/>
      <c r="J100" s="38"/>
      <c r="K100" s="38"/>
      <c r="L100" s="38"/>
      <c r="M100" s="38"/>
      <c r="N100" s="38"/>
      <c r="O100" s="38"/>
      <c r="P100" s="38"/>
    </row>
    <row r="101" spans="1:16" ht="15.6">
      <c r="A101" s="38"/>
      <c r="B101" s="81"/>
      <c r="C101" s="81"/>
      <c r="D101" s="81"/>
      <c r="E101" s="38"/>
      <c r="F101" s="38"/>
      <c r="G101" s="38"/>
      <c r="H101" s="38"/>
      <c r="I101" s="38"/>
      <c r="J101" s="38"/>
      <c r="K101" s="38"/>
      <c r="L101" s="38"/>
      <c r="M101" s="38"/>
      <c r="N101" s="38"/>
      <c r="O101" s="38"/>
      <c r="P101" s="38"/>
    </row>
    <row r="102" spans="1:16" ht="30.6">
      <c r="A102" s="38"/>
      <c r="B102" s="655"/>
      <c r="C102" s="62" t="s">
        <v>39</v>
      </c>
      <c r="D102" s="62" t="s">
        <v>40</v>
      </c>
      <c r="E102" s="62" t="s">
        <v>41</v>
      </c>
      <c r="F102" s="62" t="s">
        <v>42</v>
      </c>
      <c r="G102" s="62" t="s">
        <v>43</v>
      </c>
      <c r="H102" s="62" t="s">
        <v>96</v>
      </c>
      <c r="I102" s="62" t="s">
        <v>253</v>
      </c>
      <c r="J102" s="62" t="s">
        <v>254</v>
      </c>
      <c r="K102" s="633"/>
      <c r="L102" s="38"/>
      <c r="M102" s="38"/>
      <c r="N102" s="38"/>
      <c r="O102" s="38"/>
      <c r="P102" s="38"/>
    </row>
    <row r="103" spans="1:16">
      <c r="A103" s="38"/>
      <c r="B103" s="92" t="s">
        <v>764</v>
      </c>
      <c r="C103" s="93"/>
      <c r="D103" s="93"/>
      <c r="E103" s="94"/>
      <c r="F103" s="94"/>
      <c r="G103" s="94"/>
      <c r="H103" s="94"/>
      <c r="I103" s="94"/>
      <c r="J103" s="644"/>
      <c r="K103" s="60"/>
      <c r="L103" s="38"/>
      <c r="M103" s="38"/>
      <c r="N103" s="38"/>
      <c r="O103" s="38"/>
      <c r="P103" s="38"/>
    </row>
    <row r="104" spans="1:16">
      <c r="A104" s="38"/>
      <c r="B104" s="57" t="s">
        <v>675</v>
      </c>
      <c r="C104" s="68">
        <v>20244250.373180069</v>
      </c>
      <c r="D104" s="68">
        <v>14788188</v>
      </c>
      <c r="E104" s="50">
        <v>19955777</v>
      </c>
      <c r="F104" s="50">
        <v>22876338.43</v>
      </c>
      <c r="G104" s="50">
        <v>23893430</v>
      </c>
      <c r="H104" s="50">
        <v>22503346</v>
      </c>
      <c r="I104" s="50">
        <v>19605661</v>
      </c>
      <c r="J104" s="50">
        <v>20949926</v>
      </c>
      <c r="K104" s="205"/>
      <c r="L104" s="38"/>
      <c r="M104" s="38"/>
      <c r="N104" s="38"/>
      <c r="O104" s="38"/>
      <c r="P104" s="38"/>
    </row>
    <row r="105" spans="1:16">
      <c r="A105" s="38"/>
      <c r="B105" s="57" t="s">
        <v>678</v>
      </c>
      <c r="C105" s="68">
        <v>0</v>
      </c>
      <c r="D105" s="68">
        <v>0</v>
      </c>
      <c r="E105" s="50">
        <v>0</v>
      </c>
      <c r="F105" s="50">
        <v>0</v>
      </c>
      <c r="G105" s="51">
        <v>0</v>
      </c>
      <c r="H105" s="51">
        <v>0</v>
      </c>
      <c r="I105" s="51">
        <v>0</v>
      </c>
      <c r="J105" s="51">
        <v>0</v>
      </c>
      <c r="K105" s="112"/>
      <c r="L105" s="38"/>
      <c r="M105" s="38"/>
      <c r="N105" s="38"/>
      <c r="O105" s="38"/>
      <c r="P105" s="38"/>
    </row>
    <row r="106" spans="1:16">
      <c r="A106" s="38"/>
      <c r="B106" s="57" t="s">
        <v>683</v>
      </c>
      <c r="C106" s="50">
        <v>10856077</v>
      </c>
      <c r="D106" s="50">
        <v>9967404</v>
      </c>
      <c r="E106" s="50">
        <v>11576937</v>
      </c>
      <c r="F106" s="50">
        <v>24620332</v>
      </c>
      <c r="G106" s="50">
        <v>28656262</v>
      </c>
      <c r="H106" s="50">
        <v>28850605</v>
      </c>
      <c r="I106" s="656">
        <v>28164870</v>
      </c>
      <c r="J106" s="50">
        <v>7726710</v>
      </c>
      <c r="K106" s="657"/>
      <c r="L106" s="38"/>
      <c r="M106" s="38"/>
      <c r="N106" s="38"/>
      <c r="O106" s="38"/>
      <c r="P106" s="38"/>
    </row>
    <row r="107" spans="1:16">
      <c r="A107" s="38"/>
      <c r="B107" s="57" t="s">
        <v>688</v>
      </c>
      <c r="C107" s="68">
        <v>309338.43</v>
      </c>
      <c r="D107" s="68">
        <v>250149</v>
      </c>
      <c r="E107" s="50">
        <v>174434.96</v>
      </c>
      <c r="F107" s="50">
        <v>170631.44</v>
      </c>
      <c r="G107" s="50">
        <v>194936</v>
      </c>
      <c r="H107" s="50">
        <v>184905</v>
      </c>
      <c r="I107" s="50">
        <v>231633</v>
      </c>
      <c r="J107" s="50">
        <v>196216</v>
      </c>
      <c r="K107" s="205"/>
      <c r="L107" s="38"/>
      <c r="M107" s="38"/>
      <c r="N107" s="38"/>
      <c r="O107" s="38"/>
      <c r="P107" s="38"/>
    </row>
    <row r="108" spans="1:16">
      <c r="A108" s="38"/>
      <c r="B108" s="57" t="s">
        <v>765</v>
      </c>
      <c r="C108" s="658" t="s">
        <v>541</v>
      </c>
      <c r="D108" s="658" t="s">
        <v>541</v>
      </c>
      <c r="E108" s="50">
        <v>0</v>
      </c>
      <c r="F108" s="50">
        <v>4</v>
      </c>
      <c r="G108" s="51">
        <v>0</v>
      </c>
      <c r="H108" s="51">
        <v>0</v>
      </c>
      <c r="I108" s="51">
        <v>0</v>
      </c>
      <c r="J108" s="51">
        <v>0</v>
      </c>
      <c r="K108" s="105"/>
      <c r="L108" s="38"/>
      <c r="M108" s="38"/>
      <c r="N108" s="38"/>
      <c r="O108" s="38"/>
      <c r="P108" s="38"/>
    </row>
    <row r="109" spans="1:16">
      <c r="A109" s="38"/>
      <c r="B109" s="246" t="s">
        <v>766</v>
      </c>
      <c r="C109" s="68">
        <v>124350</v>
      </c>
      <c r="D109" s="68">
        <v>13054376</v>
      </c>
      <c r="E109" s="68">
        <v>12663790</v>
      </c>
      <c r="F109" s="68">
        <v>12001401.640000001</v>
      </c>
      <c r="G109" s="68">
        <v>13291200</v>
      </c>
      <c r="H109" s="68">
        <v>15137631</v>
      </c>
      <c r="I109" s="147">
        <v>14448049</v>
      </c>
      <c r="J109" s="68">
        <v>9451522</v>
      </c>
      <c r="K109" s="38"/>
      <c r="L109" s="659"/>
      <c r="M109" s="38"/>
      <c r="N109" s="38"/>
      <c r="O109" s="38"/>
      <c r="P109" s="38"/>
    </row>
    <row r="110" spans="1:16">
      <c r="A110" s="38"/>
      <c r="B110" s="201" t="s">
        <v>767</v>
      </c>
      <c r="C110" s="83">
        <v>0</v>
      </c>
      <c r="D110" s="83">
        <v>0</v>
      </c>
      <c r="E110" s="83">
        <v>0</v>
      </c>
      <c r="F110" s="83">
        <v>0</v>
      </c>
      <c r="G110" s="83">
        <v>0</v>
      </c>
      <c r="H110" s="83">
        <v>0</v>
      </c>
      <c r="I110" s="83">
        <v>0</v>
      </c>
      <c r="J110" s="83">
        <v>0</v>
      </c>
      <c r="K110" s="38"/>
      <c r="L110" s="660"/>
      <c r="M110" s="38"/>
      <c r="N110" s="38"/>
      <c r="O110" s="38"/>
      <c r="P110" s="38"/>
    </row>
    <row r="111" spans="1:16">
      <c r="A111" s="38"/>
      <c r="B111" s="57" t="s">
        <v>667</v>
      </c>
      <c r="C111" s="68">
        <v>141176</v>
      </c>
      <c r="D111" s="68">
        <v>742635</v>
      </c>
      <c r="E111" s="642"/>
      <c r="F111" s="642"/>
      <c r="G111" s="642"/>
      <c r="H111" s="642"/>
      <c r="I111" s="642"/>
      <c r="J111" s="642"/>
      <c r="K111" s="38"/>
      <c r="L111" s="105"/>
      <c r="M111" s="38"/>
      <c r="N111" s="38"/>
      <c r="O111" s="38"/>
      <c r="P111" s="38"/>
    </row>
    <row r="112" spans="1:16">
      <c r="A112" s="38"/>
      <c r="B112" s="57" t="s">
        <v>768</v>
      </c>
      <c r="C112" s="68">
        <v>0</v>
      </c>
      <c r="D112" s="68">
        <v>243</v>
      </c>
      <c r="E112" s="642"/>
      <c r="F112" s="642"/>
      <c r="G112" s="642"/>
      <c r="H112" s="642"/>
      <c r="I112" s="642"/>
      <c r="J112" s="642"/>
      <c r="K112" s="105"/>
      <c r="L112" s="38"/>
      <c r="M112" s="38"/>
      <c r="N112" s="38"/>
      <c r="O112" s="38"/>
      <c r="P112" s="38"/>
    </row>
    <row r="113" spans="1:16">
      <c r="A113" s="38"/>
      <c r="B113" s="58" t="s">
        <v>61</v>
      </c>
      <c r="C113" s="56">
        <f>SUM(C104:C112)</f>
        <v>31675191.803180069</v>
      </c>
      <c r="D113" s="56">
        <f>SUM(D104:D112)</f>
        <v>38802995</v>
      </c>
      <c r="E113" s="56">
        <f t="shared" ref="E113:J113" si="8">SUM(E104:E110)</f>
        <v>44370938.960000001</v>
      </c>
      <c r="F113" s="56">
        <f t="shared" si="8"/>
        <v>59668707.509999998</v>
      </c>
      <c r="G113" s="56">
        <f t="shared" si="8"/>
        <v>66035828</v>
      </c>
      <c r="H113" s="56">
        <f t="shared" si="8"/>
        <v>66676487</v>
      </c>
      <c r="I113" s="56">
        <f t="shared" si="8"/>
        <v>62450213</v>
      </c>
      <c r="J113" s="56">
        <f t="shared" si="8"/>
        <v>38324374</v>
      </c>
      <c r="K113" s="203"/>
      <c r="L113" s="38"/>
      <c r="M113" s="38"/>
      <c r="N113" s="38"/>
      <c r="O113" s="38"/>
      <c r="P113" s="38"/>
    </row>
    <row r="114" spans="1:16">
      <c r="A114" s="38"/>
      <c r="B114" s="92" t="s">
        <v>769</v>
      </c>
      <c r="C114" s="92"/>
      <c r="D114" s="92"/>
      <c r="E114" s="92"/>
      <c r="F114" s="92"/>
      <c r="G114" s="92"/>
      <c r="H114" s="92"/>
      <c r="I114" s="92"/>
      <c r="J114" s="644"/>
      <c r="K114" s="60"/>
      <c r="L114" s="38"/>
      <c r="M114" s="38"/>
      <c r="N114" s="38"/>
      <c r="O114" s="38"/>
      <c r="P114" s="38"/>
    </row>
    <row r="115" spans="1:16">
      <c r="A115" s="38"/>
      <c r="B115" s="57" t="s">
        <v>770</v>
      </c>
      <c r="C115" s="50">
        <v>38670.949999999997</v>
      </c>
      <c r="D115" s="68">
        <v>34319</v>
      </c>
      <c r="E115" s="68">
        <v>6396070.5599999996</v>
      </c>
      <c r="F115" s="50">
        <v>5524236.4400000004</v>
      </c>
      <c r="G115" s="50">
        <v>7119975</v>
      </c>
      <c r="H115" s="50">
        <v>6770937</v>
      </c>
      <c r="I115" s="50">
        <v>7356552</v>
      </c>
      <c r="J115" s="50">
        <v>10344491</v>
      </c>
      <c r="K115" s="661"/>
      <c r="L115" s="38"/>
      <c r="M115" s="38"/>
      <c r="N115" s="38"/>
      <c r="O115" s="38"/>
      <c r="P115" s="38"/>
    </row>
    <row r="116" spans="1:16">
      <c r="A116" s="38"/>
      <c r="B116" s="57" t="s">
        <v>771</v>
      </c>
      <c r="C116" s="51">
        <v>0</v>
      </c>
      <c r="D116" s="68">
        <v>0</v>
      </c>
      <c r="E116" s="83">
        <v>0</v>
      </c>
      <c r="F116" s="51">
        <v>0</v>
      </c>
      <c r="G116" s="51">
        <v>0</v>
      </c>
      <c r="H116" s="50">
        <v>2395</v>
      </c>
      <c r="I116" s="50">
        <v>2070</v>
      </c>
      <c r="J116" s="50">
        <v>525463</v>
      </c>
      <c r="K116" s="659"/>
      <c r="L116" s="38"/>
      <c r="M116" s="38"/>
      <c r="N116" s="38"/>
      <c r="O116" s="38"/>
      <c r="P116" s="38"/>
    </row>
    <row r="117" spans="1:16">
      <c r="A117" s="38"/>
      <c r="B117" s="57" t="s">
        <v>772</v>
      </c>
      <c r="C117" s="50">
        <v>6953.16</v>
      </c>
      <c r="D117" s="68">
        <v>5199</v>
      </c>
      <c r="E117" s="68">
        <v>60216.88</v>
      </c>
      <c r="F117" s="50">
        <v>90492</v>
      </c>
      <c r="G117" s="50">
        <v>102157</v>
      </c>
      <c r="H117" s="50">
        <v>133092</v>
      </c>
      <c r="I117" s="50">
        <v>129554</v>
      </c>
      <c r="J117" s="50">
        <v>169636</v>
      </c>
      <c r="K117" s="661"/>
      <c r="L117" s="38"/>
      <c r="M117" s="38"/>
      <c r="N117" s="38"/>
      <c r="O117" s="38"/>
      <c r="P117" s="38"/>
    </row>
    <row r="118" spans="1:16">
      <c r="A118" s="38"/>
      <c r="B118" s="57" t="s">
        <v>773</v>
      </c>
      <c r="C118" s="50">
        <v>1015.67</v>
      </c>
      <c r="D118" s="68">
        <v>611</v>
      </c>
      <c r="E118" s="68">
        <v>3371.55</v>
      </c>
      <c r="F118" s="50">
        <v>2198</v>
      </c>
      <c r="G118" s="50">
        <v>7789</v>
      </c>
      <c r="H118" s="50">
        <v>8636</v>
      </c>
      <c r="I118" s="50">
        <v>8451</v>
      </c>
      <c r="J118" s="50">
        <v>4689</v>
      </c>
      <c r="K118" s="661"/>
      <c r="L118" s="38"/>
      <c r="M118" s="38"/>
      <c r="N118" s="38"/>
      <c r="O118" s="38"/>
      <c r="P118" s="38"/>
    </row>
    <row r="119" spans="1:16">
      <c r="A119" s="38"/>
      <c r="B119" s="57" t="s">
        <v>774</v>
      </c>
      <c r="C119" s="51">
        <v>0</v>
      </c>
      <c r="D119" s="68">
        <v>0</v>
      </c>
      <c r="E119" s="83">
        <v>118</v>
      </c>
      <c r="F119" s="51">
        <v>297</v>
      </c>
      <c r="G119" s="51">
        <v>642</v>
      </c>
      <c r="H119" s="50">
        <v>1375</v>
      </c>
      <c r="I119" s="51">
        <v>246</v>
      </c>
      <c r="J119" s="51">
        <v>556</v>
      </c>
      <c r="K119" s="661"/>
      <c r="L119" s="38"/>
      <c r="M119" s="38"/>
      <c r="N119" s="38"/>
      <c r="O119" s="38"/>
      <c r="P119" s="38"/>
    </row>
    <row r="120" spans="1:16">
      <c r="A120" s="38"/>
      <c r="B120" s="57" t="s">
        <v>775</v>
      </c>
      <c r="C120" s="51">
        <v>0</v>
      </c>
      <c r="D120" s="68">
        <v>74</v>
      </c>
      <c r="E120" s="68">
        <v>12462.6</v>
      </c>
      <c r="F120" s="50">
        <v>17470.41</v>
      </c>
      <c r="G120" s="50">
        <v>25938</v>
      </c>
      <c r="H120" s="50">
        <v>37291</v>
      </c>
      <c r="I120" s="50">
        <v>42802</v>
      </c>
      <c r="J120" s="50">
        <v>71973</v>
      </c>
      <c r="K120" s="661"/>
      <c r="L120" s="38"/>
      <c r="M120" s="38"/>
      <c r="N120" s="38"/>
      <c r="O120" s="38"/>
      <c r="P120" s="38"/>
    </row>
    <row r="121" spans="1:16">
      <c r="A121" s="38"/>
      <c r="B121" s="57" t="s">
        <v>776</v>
      </c>
      <c r="C121" s="51">
        <v>0</v>
      </c>
      <c r="D121" s="68">
        <v>20</v>
      </c>
      <c r="E121" s="68">
        <v>12147.29</v>
      </c>
      <c r="F121" s="50">
        <v>13057.24</v>
      </c>
      <c r="G121" s="50">
        <v>16350</v>
      </c>
      <c r="H121" s="50">
        <v>17386</v>
      </c>
      <c r="I121" s="50">
        <v>32592</v>
      </c>
      <c r="J121" s="50">
        <v>66070</v>
      </c>
      <c r="K121" s="661"/>
      <c r="L121" s="38"/>
      <c r="M121" s="38"/>
      <c r="N121" s="38"/>
      <c r="O121" s="38"/>
      <c r="P121" s="38"/>
    </row>
    <row r="122" spans="1:16">
      <c r="A122" s="38"/>
      <c r="B122" s="73"/>
      <c r="C122" s="73"/>
      <c r="D122" s="73"/>
      <c r="E122" s="212"/>
      <c r="F122" s="212"/>
      <c r="G122" s="212"/>
      <c r="H122" s="212"/>
      <c r="I122" s="212"/>
      <c r="J122" s="212"/>
      <c r="K122" s="662"/>
      <c r="L122" s="38"/>
      <c r="M122" s="38"/>
      <c r="N122" s="38"/>
      <c r="O122" s="38"/>
      <c r="P122" s="38"/>
    </row>
    <row r="123" spans="1:16">
      <c r="A123" s="38"/>
      <c r="B123" s="889" t="s">
        <v>777</v>
      </c>
      <c r="C123" s="889"/>
      <c r="D123" s="889"/>
      <c r="E123" s="889"/>
      <c r="F123" s="889"/>
      <c r="G123" s="889"/>
      <c r="H123" s="889"/>
      <c r="I123" s="889"/>
      <c r="J123" s="889"/>
      <c r="K123" s="622"/>
      <c r="L123" s="38"/>
      <c r="M123" s="38"/>
      <c r="N123" s="38"/>
      <c r="O123" s="38"/>
      <c r="P123" s="38"/>
    </row>
    <row r="124" spans="1:16">
      <c r="A124" s="38"/>
      <c r="B124" s="890" t="s">
        <v>778</v>
      </c>
      <c r="C124" s="890"/>
      <c r="D124" s="890"/>
      <c r="E124" s="890"/>
      <c r="F124" s="890"/>
      <c r="G124" s="890"/>
      <c r="H124" s="212"/>
      <c r="I124" s="212"/>
      <c r="J124" s="212"/>
      <c r="K124" s="212"/>
      <c r="L124" s="38"/>
      <c r="M124" s="38"/>
      <c r="N124" s="38"/>
      <c r="O124" s="38"/>
      <c r="P124" s="38"/>
    </row>
    <row r="125" spans="1:16">
      <c r="A125" s="38"/>
      <c r="B125" s="891" t="s">
        <v>694</v>
      </c>
      <c r="C125" s="891"/>
      <c r="D125" s="891"/>
      <c r="E125" s="891"/>
      <c r="F125" s="891"/>
      <c r="G125" s="891"/>
      <c r="H125" s="212"/>
      <c r="I125" s="212"/>
      <c r="J125" s="212"/>
      <c r="K125" s="212"/>
      <c r="L125" s="38"/>
      <c r="M125" s="38"/>
      <c r="N125" s="38"/>
      <c r="O125" s="38"/>
      <c r="P125" s="38"/>
    </row>
    <row r="126" spans="1:16">
      <c r="A126" s="38"/>
      <c r="B126" s="252"/>
      <c r="C126" s="73"/>
      <c r="D126" s="73"/>
      <c r="E126" s="212"/>
      <c r="F126" s="212"/>
      <c r="G126" s="212"/>
      <c r="H126" s="212"/>
      <c r="I126" s="212"/>
      <c r="J126" s="212"/>
      <c r="K126" s="212"/>
      <c r="L126" s="38"/>
      <c r="M126" s="38"/>
      <c r="N126" s="38"/>
      <c r="O126" s="38"/>
      <c r="P126" s="38"/>
    </row>
    <row r="127" spans="1:16" ht="15.6">
      <c r="A127" s="38"/>
      <c r="B127" s="81" t="s">
        <v>779</v>
      </c>
      <c r="C127" s="81"/>
      <c r="D127" s="38"/>
      <c r="E127" s="38"/>
      <c r="F127" s="38"/>
      <c r="G127" s="38"/>
      <c r="H127" s="38"/>
      <c r="I127" s="38"/>
      <c r="J127" s="38"/>
      <c r="K127" s="38"/>
      <c r="L127" s="38"/>
      <c r="M127" s="38"/>
      <c r="N127" s="38"/>
      <c r="O127" s="38"/>
      <c r="P127" s="38"/>
    </row>
    <row r="128" spans="1:16" ht="15.6">
      <c r="A128" s="38"/>
      <c r="B128" s="81"/>
      <c r="C128" s="81"/>
      <c r="D128" s="81"/>
      <c r="E128" s="38"/>
      <c r="F128" s="38"/>
      <c r="G128" s="38"/>
      <c r="H128" s="38"/>
      <c r="I128" s="38"/>
      <c r="J128" s="38"/>
      <c r="K128" s="38"/>
      <c r="L128" s="38"/>
      <c r="M128" s="38"/>
      <c r="N128" s="38"/>
      <c r="O128" s="38"/>
      <c r="P128" s="38"/>
    </row>
    <row r="129" spans="1:16">
      <c r="A129" s="38"/>
      <c r="B129" s="61" t="s">
        <v>780</v>
      </c>
      <c r="C129" s="62" t="s">
        <v>39</v>
      </c>
      <c r="D129" s="62" t="s">
        <v>40</v>
      </c>
      <c r="E129" s="62" t="s">
        <v>41</v>
      </c>
      <c r="F129" s="142"/>
      <c r="G129" s="142"/>
      <c r="H129" s="142"/>
      <c r="I129" s="142"/>
      <c r="J129" s="38"/>
      <c r="K129" s="38"/>
      <c r="L129" s="38"/>
      <c r="M129" s="38"/>
      <c r="N129" s="38"/>
      <c r="O129" s="38"/>
      <c r="P129" s="38"/>
    </row>
    <row r="130" spans="1:16">
      <c r="A130" s="38"/>
      <c r="B130" s="92" t="s">
        <v>781</v>
      </c>
      <c r="C130" s="93"/>
      <c r="D130" s="93"/>
      <c r="E130" s="215"/>
      <c r="F130" s="38"/>
      <c r="G130" s="38"/>
      <c r="H130" s="38"/>
      <c r="I130" s="38"/>
      <c r="J130" s="38"/>
      <c r="K130" s="38"/>
      <c r="L130" s="38"/>
      <c r="M130" s="38"/>
      <c r="N130" s="38"/>
      <c r="O130" s="38"/>
      <c r="P130" s="38"/>
    </row>
    <row r="131" spans="1:16">
      <c r="A131" s="38"/>
      <c r="B131" s="630" t="s">
        <v>675</v>
      </c>
      <c r="C131" s="663">
        <v>1</v>
      </c>
      <c r="D131" s="663">
        <v>1</v>
      </c>
      <c r="E131" s="663">
        <v>1</v>
      </c>
      <c r="F131" s="38"/>
      <c r="G131" s="38"/>
      <c r="H131" s="38"/>
      <c r="I131" s="38"/>
      <c r="J131" s="38"/>
      <c r="K131" s="38"/>
      <c r="L131" s="38"/>
      <c r="M131" s="38"/>
      <c r="N131" s="38"/>
      <c r="O131" s="38"/>
      <c r="P131" s="38"/>
    </row>
    <row r="132" spans="1:16">
      <c r="A132" s="38"/>
      <c r="B132" s="201" t="s">
        <v>678</v>
      </c>
      <c r="C132" s="663">
        <v>1</v>
      </c>
      <c r="D132" s="663">
        <v>1</v>
      </c>
      <c r="E132" s="663">
        <v>1</v>
      </c>
      <c r="F132" s="38"/>
      <c r="G132" s="38"/>
      <c r="H132" s="38"/>
      <c r="I132" s="38"/>
      <c r="J132" s="38"/>
      <c r="K132" s="38"/>
      <c r="L132" s="38"/>
      <c r="M132" s="38"/>
      <c r="N132" s="38"/>
      <c r="O132" s="38"/>
      <c r="P132" s="38"/>
    </row>
    <row r="133" spans="1:16">
      <c r="A133" s="38"/>
      <c r="B133" s="201" t="s">
        <v>683</v>
      </c>
      <c r="C133" s="663">
        <v>1</v>
      </c>
      <c r="D133" s="663">
        <v>1</v>
      </c>
      <c r="E133" s="663">
        <v>1</v>
      </c>
      <c r="F133" s="38"/>
      <c r="G133" s="38"/>
      <c r="H133" s="38"/>
      <c r="I133" s="38"/>
      <c r="J133" s="38"/>
      <c r="K133" s="38"/>
      <c r="L133" s="38"/>
      <c r="M133" s="38"/>
      <c r="N133" s="38"/>
      <c r="O133" s="38"/>
      <c r="P133" s="38"/>
    </row>
    <row r="134" spans="1:16">
      <c r="A134" s="38"/>
      <c r="B134" s="201" t="s">
        <v>688</v>
      </c>
      <c r="C134" s="663">
        <v>1</v>
      </c>
      <c r="D134" s="663">
        <v>1</v>
      </c>
      <c r="E134" s="663">
        <v>1</v>
      </c>
      <c r="F134" s="38"/>
      <c r="G134" s="38"/>
      <c r="H134" s="38"/>
      <c r="I134" s="38"/>
      <c r="J134" s="38"/>
      <c r="K134" s="38"/>
      <c r="L134" s="38"/>
      <c r="M134" s="38"/>
      <c r="N134" s="38"/>
      <c r="O134" s="38"/>
      <c r="P134" s="38"/>
    </row>
    <row r="135" spans="1:16">
      <c r="A135" s="38"/>
      <c r="B135" s="201" t="s">
        <v>667</v>
      </c>
      <c r="C135" s="663">
        <v>1</v>
      </c>
      <c r="D135" s="663">
        <v>1</v>
      </c>
      <c r="E135" s="642"/>
      <c r="F135" s="38"/>
      <c r="G135" s="38"/>
      <c r="H135" s="38"/>
      <c r="I135" s="38"/>
      <c r="J135" s="38"/>
      <c r="K135" s="38"/>
      <c r="L135" s="38"/>
      <c r="M135" s="38"/>
      <c r="N135" s="38"/>
      <c r="O135" s="38"/>
      <c r="P135" s="38"/>
    </row>
    <row r="136" spans="1:16">
      <c r="A136" s="38"/>
      <c r="B136" s="92" t="s">
        <v>782</v>
      </c>
      <c r="C136" s="93"/>
      <c r="D136" s="93"/>
      <c r="E136" s="215"/>
      <c r="F136" s="38"/>
      <c r="G136" s="38"/>
      <c r="H136" s="38"/>
      <c r="I136" s="38"/>
      <c r="J136" s="38"/>
      <c r="K136" s="38"/>
      <c r="L136" s="38"/>
      <c r="M136" s="38"/>
      <c r="N136" s="38"/>
      <c r="O136" s="38"/>
      <c r="P136" s="38"/>
    </row>
    <row r="137" spans="1:16">
      <c r="A137" s="38"/>
      <c r="B137" s="664" t="s">
        <v>698</v>
      </c>
      <c r="C137" s="663">
        <v>1</v>
      </c>
      <c r="D137" s="665">
        <v>1</v>
      </c>
      <c r="E137" s="665">
        <v>1</v>
      </c>
      <c r="F137" s="205"/>
      <c r="G137" s="206"/>
      <c r="H137" s="206"/>
      <c r="I137" s="206"/>
      <c r="J137" s="206"/>
      <c r="K137" s="206"/>
      <c r="L137" s="38"/>
      <c r="M137" s="38"/>
      <c r="N137" s="38"/>
      <c r="O137" s="38"/>
      <c r="P137" s="38"/>
    </row>
    <row r="138" spans="1:16">
      <c r="A138" s="38"/>
      <c r="B138" s="664" t="s">
        <v>675</v>
      </c>
      <c r="C138" s="663">
        <v>1</v>
      </c>
      <c r="D138" s="665">
        <v>1</v>
      </c>
      <c r="E138" s="665">
        <v>1</v>
      </c>
      <c r="F138" s="112"/>
      <c r="G138" s="74"/>
      <c r="H138" s="206"/>
      <c r="I138" s="206"/>
      <c r="J138" s="206"/>
      <c r="K138" s="206"/>
      <c r="L138" s="38"/>
      <c r="M138" s="38"/>
      <c r="N138" s="38"/>
      <c r="O138" s="38"/>
      <c r="P138" s="38"/>
    </row>
    <row r="139" spans="1:16">
      <c r="A139" s="38"/>
      <c r="B139" s="664" t="s">
        <v>678</v>
      </c>
      <c r="C139" s="663">
        <v>1</v>
      </c>
      <c r="D139" s="665">
        <v>1</v>
      </c>
      <c r="E139" s="665">
        <v>1</v>
      </c>
      <c r="F139" s="205"/>
      <c r="G139" s="206"/>
      <c r="H139" s="206"/>
      <c r="I139" s="206"/>
      <c r="J139" s="206"/>
      <c r="K139" s="206"/>
      <c r="L139" s="38"/>
      <c r="M139" s="38"/>
      <c r="N139" s="38"/>
      <c r="O139" s="38"/>
      <c r="P139" s="38"/>
    </row>
    <row r="140" spans="1:16">
      <c r="A140" s="38"/>
      <c r="B140" s="664" t="s">
        <v>683</v>
      </c>
      <c r="C140" s="663">
        <v>1</v>
      </c>
      <c r="D140" s="665">
        <v>1</v>
      </c>
      <c r="E140" s="665">
        <v>1</v>
      </c>
      <c r="F140" s="205"/>
      <c r="G140" s="206"/>
      <c r="H140" s="206"/>
      <c r="I140" s="206"/>
      <c r="J140" s="206"/>
      <c r="K140" s="206"/>
      <c r="L140" s="38"/>
      <c r="M140" s="38"/>
      <c r="N140" s="38"/>
      <c r="O140" s="38"/>
      <c r="P140" s="38"/>
    </row>
    <row r="141" spans="1:16">
      <c r="A141" s="38"/>
      <c r="B141" s="664" t="s">
        <v>688</v>
      </c>
      <c r="C141" s="663">
        <v>1</v>
      </c>
      <c r="D141" s="665">
        <v>1</v>
      </c>
      <c r="E141" s="665">
        <v>1</v>
      </c>
      <c r="F141" s="112"/>
      <c r="G141" s="74"/>
      <c r="H141" s="38"/>
      <c r="I141" s="74"/>
      <c r="J141" s="38"/>
      <c r="K141" s="74"/>
      <c r="L141" s="38"/>
      <c r="M141" s="38"/>
      <c r="N141" s="38"/>
      <c r="O141" s="38"/>
      <c r="P141" s="38"/>
    </row>
    <row r="142" spans="1:16">
      <c r="A142" s="38"/>
      <c r="B142" s="664" t="s">
        <v>765</v>
      </c>
      <c r="C142" s="663">
        <v>1</v>
      </c>
      <c r="D142" s="665">
        <v>1</v>
      </c>
      <c r="E142" s="665">
        <v>1</v>
      </c>
      <c r="F142" s="205"/>
      <c r="G142" s="206"/>
      <c r="H142" s="206"/>
      <c r="I142" s="206"/>
      <c r="J142" s="206"/>
      <c r="K142" s="206"/>
      <c r="L142" s="38"/>
      <c r="M142" s="38"/>
      <c r="N142" s="38"/>
      <c r="O142" s="38"/>
      <c r="P142" s="38"/>
    </row>
    <row r="143" spans="1:16">
      <c r="A143" s="38"/>
      <c r="B143" s="664" t="s">
        <v>667</v>
      </c>
      <c r="C143" s="663">
        <v>1</v>
      </c>
      <c r="D143" s="663">
        <v>1</v>
      </c>
      <c r="E143" s="666"/>
      <c r="F143" s="205"/>
      <c r="G143" s="667"/>
      <c r="H143" s="38"/>
      <c r="I143" s="74"/>
      <c r="J143" s="38"/>
      <c r="K143" s="206"/>
      <c r="L143" s="38"/>
      <c r="M143" s="38"/>
      <c r="N143" s="38"/>
      <c r="O143" s="38"/>
      <c r="P143" s="38"/>
    </row>
    <row r="144" spans="1:16">
      <c r="A144" s="38"/>
      <c r="B144" s="216"/>
      <c r="C144" s="216"/>
      <c r="D144" s="216"/>
      <c r="E144" s="38"/>
      <c r="F144" s="38"/>
      <c r="G144" s="38"/>
      <c r="H144" s="38"/>
      <c r="I144" s="38"/>
      <c r="J144" s="38"/>
      <c r="K144" s="38"/>
      <c r="L144" s="38"/>
      <c r="M144" s="38"/>
      <c r="N144" s="38"/>
      <c r="O144" s="38"/>
      <c r="P144" s="38"/>
    </row>
    <row r="145" spans="1:16">
      <c r="A145" s="38"/>
      <c r="B145" s="829"/>
      <c r="C145" s="829"/>
      <c r="D145" s="829"/>
      <c r="E145" s="829"/>
      <c r="F145" s="38"/>
      <c r="G145" s="38"/>
      <c r="H145" s="38"/>
      <c r="I145" s="38"/>
      <c r="J145" s="38"/>
      <c r="K145" s="38"/>
      <c r="L145" s="38"/>
      <c r="M145" s="38"/>
      <c r="N145" s="38"/>
      <c r="O145" s="38"/>
      <c r="P145" s="38"/>
    </row>
    <row r="146" spans="1:16">
      <c r="A146" s="38"/>
      <c r="B146" s="38"/>
      <c r="C146" s="38"/>
      <c r="D146" s="38"/>
      <c r="E146" s="38"/>
      <c r="F146" s="38"/>
      <c r="G146" s="38"/>
      <c r="H146" s="38"/>
      <c r="I146" s="38"/>
      <c r="J146" s="38"/>
      <c r="K146" s="38"/>
      <c r="L146" s="38"/>
      <c r="M146" s="38"/>
      <c r="N146" s="38"/>
      <c r="O146" s="38"/>
      <c r="P146" s="38"/>
    </row>
    <row r="147" spans="1:16">
      <c r="A147" s="38"/>
      <c r="B147" s="38"/>
      <c r="C147" s="38"/>
      <c r="D147" s="38"/>
      <c r="E147" s="38"/>
      <c r="F147" s="38"/>
      <c r="G147" s="38"/>
      <c r="H147" s="38"/>
      <c r="I147" s="38"/>
      <c r="J147" s="38"/>
      <c r="K147" s="38"/>
      <c r="L147" s="38"/>
      <c r="M147" s="38"/>
      <c r="N147" s="38"/>
      <c r="O147" s="38"/>
      <c r="P147" s="38"/>
    </row>
    <row r="148" spans="1:16">
      <c r="A148" s="38"/>
      <c r="B148" s="38"/>
      <c r="C148" s="38"/>
      <c r="D148" s="38"/>
      <c r="E148" s="38"/>
      <c r="F148" s="38"/>
      <c r="G148" s="38"/>
      <c r="H148" s="38"/>
      <c r="I148" s="38"/>
      <c r="J148" s="38"/>
      <c r="K148" s="38"/>
      <c r="L148" s="38"/>
      <c r="M148" s="38"/>
      <c r="N148" s="38"/>
      <c r="O148" s="38"/>
      <c r="P148" s="38"/>
    </row>
    <row r="149" spans="1:16">
      <c r="A149" s="38"/>
      <c r="B149" s="74"/>
      <c r="C149" s="74"/>
      <c r="D149" s="74"/>
      <c r="E149" s="38"/>
      <c r="F149" s="38"/>
      <c r="G149" s="38"/>
      <c r="H149" s="38"/>
      <c r="I149" s="38"/>
      <c r="J149" s="38"/>
      <c r="K149" s="38"/>
      <c r="L149" s="38"/>
      <c r="M149" s="38"/>
      <c r="N149" s="38"/>
      <c r="O149" s="38"/>
      <c r="P149" s="38"/>
    </row>
  </sheetData>
  <sheetProtection algorithmName="SHA-512" hashValue="q7Wa03/IJNk0LYYcNRTVa6+RalzNgHakff0rEluOTak6Dz28Jn+J7tfbA9f9BJNfG1QqnkYWogpJ7ymuLkFd8g==" saltValue="qul4g0zjnxAwZuM6d9e8Fg==" spinCount="100000" sheet="1" objects="1" scenarios="1"/>
  <mergeCells count="20">
    <mergeCell ref="B45:J45"/>
    <mergeCell ref="B46:J46"/>
    <mergeCell ref="G2:K2"/>
    <mergeCell ref="B16:G16"/>
    <mergeCell ref="B17:G17"/>
    <mergeCell ref="B18:G18"/>
    <mergeCell ref="B19:G19"/>
    <mergeCell ref="L46:S46"/>
    <mergeCell ref="B47:J47"/>
    <mergeCell ref="L47:S47"/>
    <mergeCell ref="B48:J48"/>
    <mergeCell ref="B125:G125"/>
    <mergeCell ref="B49:G49"/>
    <mergeCell ref="B145:E145"/>
    <mergeCell ref="L70:P70"/>
    <mergeCell ref="B71:J71"/>
    <mergeCell ref="L71:P71"/>
    <mergeCell ref="B72:G72"/>
    <mergeCell ref="B123:J123"/>
    <mergeCell ref="B124:G124"/>
  </mergeCells>
  <hyperlinks>
    <hyperlink ref="A1" location="'Data Pack Overview'!A1" display="H" xr:uid="{52A5887D-4C19-4E92-B61F-15411CA22441}"/>
  </hyperlink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7A727-AAC8-4D57-8934-188ECF2F5D3D}">
  <sheetPr>
    <tabColor rgb="FF92D050"/>
  </sheetPr>
  <dimension ref="A1:O53"/>
  <sheetViews>
    <sheetView showGridLines="0" zoomScale="110" zoomScaleNormal="110" workbookViewId="0">
      <selection activeCell="E3" sqref="E3"/>
    </sheetView>
  </sheetViews>
  <sheetFormatPr defaultRowHeight="14.4"/>
  <cols>
    <col min="1" max="1" width="2.44140625" customWidth="1"/>
    <col min="2" max="2" width="29.5546875" customWidth="1"/>
    <col min="3" max="3" width="11" customWidth="1"/>
    <col min="4" max="4" width="9" customWidth="1"/>
    <col min="7" max="7" width="9" customWidth="1"/>
    <col min="8" max="8" width="9.44140625" hidden="1" customWidth="1"/>
    <col min="9" max="9" width="9.5546875" hidden="1" customWidth="1"/>
    <col min="10" max="10" width="10.44140625" hidden="1" customWidth="1"/>
    <col min="11" max="11" width="3.5546875" customWidth="1"/>
    <col min="13" max="13" width="9.5546875" bestFit="1" customWidth="1"/>
  </cols>
  <sheetData>
    <row r="1" spans="1:15">
      <c r="A1" s="18" t="s">
        <v>32</v>
      </c>
      <c r="B1" s="38"/>
      <c r="C1" s="38"/>
      <c r="D1" s="38"/>
      <c r="E1" s="38"/>
      <c r="F1" s="38"/>
      <c r="G1" s="38"/>
      <c r="H1" s="38"/>
      <c r="I1" s="38"/>
      <c r="J1" s="38"/>
      <c r="K1" s="38"/>
      <c r="L1" s="38"/>
      <c r="M1" s="38"/>
      <c r="N1" s="38"/>
      <c r="O1" s="38"/>
    </row>
    <row r="2" spans="1:15" ht="21">
      <c r="A2" s="38"/>
      <c r="B2" s="39" t="s">
        <v>783</v>
      </c>
      <c r="C2" s="39"/>
      <c r="D2" s="39"/>
      <c r="E2" s="38"/>
      <c r="F2" s="38"/>
      <c r="G2" s="38"/>
      <c r="H2" s="38"/>
      <c r="I2" s="38"/>
      <c r="J2" s="38"/>
      <c r="K2" s="38"/>
      <c r="L2" s="38"/>
      <c r="M2" s="38"/>
      <c r="N2" s="38"/>
      <c r="O2" s="38"/>
    </row>
    <row r="3" spans="1:15">
      <c r="A3" s="38"/>
      <c r="B3" s="225"/>
      <c r="C3" s="225"/>
      <c r="D3" s="225"/>
      <c r="E3" s="38"/>
      <c r="F3" s="38"/>
      <c r="G3" s="38"/>
      <c r="H3" s="38"/>
      <c r="I3" s="38"/>
      <c r="J3" s="38"/>
      <c r="K3" s="38"/>
      <c r="L3" s="38"/>
      <c r="M3" s="38"/>
      <c r="N3" s="38"/>
      <c r="O3" s="38"/>
    </row>
    <row r="4" spans="1:15" ht="15.6">
      <c r="A4" s="38"/>
      <c r="B4" s="81" t="s">
        <v>420</v>
      </c>
      <c r="C4" s="81"/>
      <c r="D4" s="81"/>
      <c r="E4" s="38"/>
      <c r="F4" s="38"/>
      <c r="G4" s="38"/>
      <c r="H4" s="38"/>
      <c r="I4" s="38"/>
      <c r="J4" s="38"/>
      <c r="K4" s="38"/>
      <c r="L4" s="38"/>
      <c r="M4" s="38"/>
      <c r="N4" s="38"/>
      <c r="O4" s="38"/>
    </row>
    <row r="5" spans="1:15">
      <c r="A5" s="38"/>
      <c r="B5" s="211"/>
      <c r="C5" s="211"/>
      <c r="D5" s="211"/>
      <c r="E5" s="38"/>
      <c r="F5" s="38"/>
      <c r="G5" s="38"/>
      <c r="H5" s="38"/>
      <c r="I5" s="38"/>
      <c r="J5" s="38"/>
      <c r="K5" s="38"/>
      <c r="L5" s="38"/>
      <c r="M5" s="38"/>
      <c r="N5" s="38"/>
      <c r="O5" s="38"/>
    </row>
    <row r="6" spans="1:15">
      <c r="A6" s="38"/>
      <c r="B6" s="61" t="s">
        <v>784</v>
      </c>
      <c r="C6" s="62" t="s">
        <v>39</v>
      </c>
      <c r="D6" s="62" t="s">
        <v>40</v>
      </c>
      <c r="E6" s="62" t="s">
        <v>41</v>
      </c>
      <c r="F6" s="62" t="s">
        <v>42</v>
      </c>
      <c r="G6" s="62" t="s">
        <v>43</v>
      </c>
      <c r="H6" s="62" t="s">
        <v>96</v>
      </c>
      <c r="I6" s="62" t="s">
        <v>253</v>
      </c>
      <c r="J6" s="62" t="s">
        <v>254</v>
      </c>
      <c r="K6" s="38"/>
      <c r="L6" s="38"/>
      <c r="M6" s="38"/>
      <c r="N6" s="38"/>
      <c r="O6" s="38"/>
    </row>
    <row r="7" spans="1:15">
      <c r="A7" s="38"/>
      <c r="B7" s="226" t="s">
        <v>785</v>
      </c>
      <c r="C7" s="227"/>
      <c r="D7" s="227"/>
      <c r="E7" s="228"/>
      <c r="F7" s="228"/>
      <c r="G7" s="228"/>
      <c r="H7" s="228"/>
      <c r="I7" s="228"/>
      <c r="J7" s="215"/>
      <c r="K7" s="38"/>
      <c r="L7" s="38"/>
      <c r="M7" s="38"/>
      <c r="N7" s="38"/>
      <c r="O7" s="38"/>
    </row>
    <row r="8" spans="1:15">
      <c r="A8" s="38"/>
      <c r="B8" s="57" t="s">
        <v>688</v>
      </c>
      <c r="C8" s="50">
        <v>143637</v>
      </c>
      <c r="D8" s="50">
        <v>144685.07</v>
      </c>
      <c r="E8" s="50">
        <v>182475</v>
      </c>
      <c r="F8" s="50">
        <v>260614</v>
      </c>
      <c r="G8" s="50">
        <v>217578</v>
      </c>
      <c r="H8" s="50">
        <v>620654</v>
      </c>
      <c r="I8" s="50">
        <v>546670</v>
      </c>
      <c r="J8" s="50">
        <v>600623</v>
      </c>
      <c r="K8" s="38"/>
      <c r="L8" s="38"/>
      <c r="M8" s="38"/>
      <c r="N8" s="38"/>
      <c r="O8" s="38"/>
    </row>
    <row r="9" spans="1:15">
      <c r="A9" s="38"/>
      <c r="B9" s="57" t="s">
        <v>786</v>
      </c>
      <c r="C9" s="50">
        <v>444810.03</v>
      </c>
      <c r="D9" s="50">
        <v>408244</v>
      </c>
      <c r="E9" s="50">
        <v>371623.4</v>
      </c>
      <c r="F9" s="50">
        <v>494831.61</v>
      </c>
      <c r="G9" s="50">
        <v>451937</v>
      </c>
      <c r="H9" s="50">
        <v>392940</v>
      </c>
      <c r="I9" s="213">
        <v>577592</v>
      </c>
      <c r="J9" s="50">
        <v>1948614</v>
      </c>
      <c r="K9" s="38"/>
      <c r="L9" s="38"/>
      <c r="M9" s="38"/>
      <c r="N9" s="38"/>
      <c r="O9" s="38"/>
    </row>
    <row r="10" spans="1:15">
      <c r="A10" s="38"/>
      <c r="B10" s="201" t="s">
        <v>787</v>
      </c>
      <c r="C10" s="68">
        <v>26026.77</v>
      </c>
      <c r="D10" s="68">
        <v>1519968.23</v>
      </c>
      <c r="E10" s="68">
        <v>1559829</v>
      </c>
      <c r="F10" s="68">
        <v>1679904.21</v>
      </c>
      <c r="G10" s="68">
        <v>1757203</v>
      </c>
      <c r="H10" s="68">
        <v>1683353</v>
      </c>
      <c r="I10" s="150">
        <v>1463459</v>
      </c>
      <c r="J10" s="68">
        <v>58158</v>
      </c>
      <c r="K10" s="38"/>
      <c r="L10" s="38"/>
      <c r="M10" s="38"/>
      <c r="N10" s="38"/>
      <c r="O10" s="38"/>
    </row>
    <row r="11" spans="1:15">
      <c r="A11" s="38"/>
      <c r="B11" s="201" t="s">
        <v>667</v>
      </c>
      <c r="C11" s="68">
        <v>268018</v>
      </c>
      <c r="D11" s="68">
        <v>128168.98</v>
      </c>
      <c r="E11" s="229"/>
      <c r="F11" s="229"/>
      <c r="G11" s="229"/>
      <c r="H11" s="229"/>
      <c r="I11" s="230"/>
      <c r="J11" s="229"/>
      <c r="K11" s="38"/>
      <c r="L11" s="38"/>
      <c r="M11" s="38"/>
      <c r="N11" s="38"/>
      <c r="O11" s="38"/>
    </row>
    <row r="12" spans="1:15">
      <c r="A12" s="38"/>
      <c r="B12" s="57" t="s">
        <v>711</v>
      </c>
      <c r="C12" s="50">
        <v>35552</v>
      </c>
      <c r="D12" s="50">
        <v>48983</v>
      </c>
      <c r="E12" s="229"/>
      <c r="F12" s="229"/>
      <c r="G12" s="229"/>
      <c r="H12" s="229"/>
      <c r="I12" s="230"/>
      <c r="J12" s="229"/>
      <c r="K12" s="38"/>
      <c r="L12" s="38"/>
      <c r="M12" s="38"/>
      <c r="N12" s="38"/>
      <c r="O12" s="38"/>
    </row>
    <row r="13" spans="1:15">
      <c r="A13" s="38"/>
      <c r="B13" s="58" t="s">
        <v>61</v>
      </c>
      <c r="C13" s="56">
        <f>SUM(C8:C12)</f>
        <v>918043.8</v>
      </c>
      <c r="D13" s="56">
        <f t="shared" ref="D13:J13" si="0">SUM(D8:D12)</f>
        <v>2250049.2800000003</v>
      </c>
      <c r="E13" s="56">
        <f t="shared" si="0"/>
        <v>2113927.4</v>
      </c>
      <c r="F13" s="56">
        <f t="shared" si="0"/>
        <v>2435349.8199999998</v>
      </c>
      <c r="G13" s="56">
        <f t="shared" si="0"/>
        <v>2426718</v>
      </c>
      <c r="H13" s="56">
        <f t="shared" si="0"/>
        <v>2696947</v>
      </c>
      <c r="I13" s="56">
        <f t="shared" si="0"/>
        <v>2587721</v>
      </c>
      <c r="J13" s="56">
        <f t="shared" si="0"/>
        <v>2607395</v>
      </c>
      <c r="K13" s="38"/>
      <c r="L13" s="38"/>
      <c r="M13" s="38"/>
      <c r="N13" s="38"/>
      <c r="O13" s="38"/>
    </row>
    <row r="14" spans="1:15">
      <c r="A14" s="38"/>
      <c r="B14" s="58" t="s">
        <v>739</v>
      </c>
      <c r="C14" s="63">
        <f>(C13-D13)/D13</f>
        <v>-0.59198946967063759</v>
      </c>
      <c r="D14" s="63">
        <f>(D13-E13)/E13</f>
        <v>6.4392883123611702E-2</v>
      </c>
      <c r="E14" s="63">
        <f>(E13-F13)/F13</f>
        <v>-0.13198203287279686</v>
      </c>
      <c r="F14" s="63">
        <f t="shared" ref="F14:I14" si="1">(F13-G13)/G13</f>
        <v>3.5569934372266707E-3</v>
      </c>
      <c r="G14" s="63">
        <f t="shared" si="1"/>
        <v>-0.10019811290321982</v>
      </c>
      <c r="H14" s="63">
        <f t="shared" si="1"/>
        <v>4.220934173351764E-2</v>
      </c>
      <c r="I14" s="63">
        <f t="shared" si="1"/>
        <v>-7.5454620416162488E-3</v>
      </c>
      <c r="J14" s="229"/>
      <c r="K14" s="38"/>
      <c r="L14" s="38"/>
      <c r="M14" s="38"/>
      <c r="N14" s="38"/>
      <c r="O14" s="38"/>
    </row>
    <row r="15" spans="1:15">
      <c r="A15" s="38"/>
      <c r="B15" s="226" t="s">
        <v>788</v>
      </c>
      <c r="C15" s="227"/>
      <c r="D15" s="227"/>
      <c r="E15" s="228"/>
      <c r="F15" s="228"/>
      <c r="G15" s="228"/>
      <c r="H15" s="228"/>
      <c r="I15" s="228"/>
      <c r="J15" s="215"/>
      <c r="K15" s="38"/>
      <c r="L15" s="38"/>
      <c r="M15" s="38"/>
      <c r="N15" s="38"/>
      <c r="O15" s="38"/>
    </row>
    <row r="16" spans="1:15">
      <c r="A16" s="38"/>
      <c r="B16" s="162" t="s">
        <v>688</v>
      </c>
      <c r="C16" s="47">
        <v>128371</v>
      </c>
      <c r="D16" s="47">
        <v>15486.07</v>
      </c>
      <c r="E16" s="47">
        <v>67967</v>
      </c>
      <c r="F16" s="47">
        <v>50262</v>
      </c>
      <c r="G16" s="47">
        <v>71092</v>
      </c>
      <c r="H16" s="47">
        <v>149872</v>
      </c>
      <c r="I16" s="47">
        <v>173841</v>
      </c>
      <c r="J16" s="47">
        <v>171830</v>
      </c>
      <c r="K16" s="38"/>
      <c r="L16" s="38"/>
      <c r="M16" s="38"/>
      <c r="N16" s="38"/>
      <c r="O16" s="38"/>
    </row>
    <row r="17" spans="1:15">
      <c r="A17" s="38"/>
      <c r="B17" s="201" t="s">
        <v>765</v>
      </c>
      <c r="C17" s="68">
        <v>56223.09</v>
      </c>
      <c r="D17" s="68">
        <v>68087</v>
      </c>
      <c r="E17" s="68">
        <v>99160.4</v>
      </c>
      <c r="F17" s="68">
        <v>248368.61</v>
      </c>
      <c r="G17" s="68">
        <v>184275</v>
      </c>
      <c r="H17" s="68">
        <v>113264</v>
      </c>
      <c r="I17" s="68">
        <v>232585</v>
      </c>
      <c r="J17" s="68">
        <v>829592</v>
      </c>
      <c r="K17" s="38"/>
      <c r="L17" s="38"/>
      <c r="M17" s="38"/>
      <c r="N17" s="38"/>
      <c r="O17" s="38"/>
    </row>
    <row r="18" spans="1:15">
      <c r="A18" s="38"/>
      <c r="B18" s="201" t="s">
        <v>787</v>
      </c>
      <c r="C18" s="68">
        <v>26026.77</v>
      </c>
      <c r="D18" s="68">
        <v>1519968.23</v>
      </c>
      <c r="E18" s="68">
        <v>1559829</v>
      </c>
      <c r="F18" s="68">
        <v>1679904.21</v>
      </c>
      <c r="G18" s="68">
        <v>1757203</v>
      </c>
      <c r="H18" s="68">
        <v>1683353</v>
      </c>
      <c r="I18" s="68">
        <v>1463459</v>
      </c>
      <c r="J18" s="68">
        <v>58158</v>
      </c>
      <c r="K18" s="38"/>
      <c r="L18" s="38"/>
      <c r="M18" s="38"/>
      <c r="N18" s="38"/>
      <c r="O18" s="38"/>
    </row>
    <row r="19" spans="1:15">
      <c r="A19" s="38"/>
      <c r="B19" s="201" t="s">
        <v>667</v>
      </c>
      <c r="C19" s="68">
        <v>268018</v>
      </c>
      <c r="D19" s="68">
        <v>128168.98</v>
      </c>
      <c r="E19" s="229"/>
      <c r="F19" s="229"/>
      <c r="G19" s="229"/>
      <c r="H19" s="229"/>
      <c r="I19" s="230"/>
      <c r="J19" s="229"/>
      <c r="K19" s="38"/>
      <c r="L19" s="38"/>
      <c r="M19" s="38"/>
      <c r="N19" s="38"/>
      <c r="O19" s="38"/>
    </row>
    <row r="20" spans="1:15">
      <c r="A20" s="38"/>
      <c r="B20" s="201" t="s">
        <v>711</v>
      </c>
      <c r="C20" s="68">
        <v>10408</v>
      </c>
      <c r="D20" s="68">
        <v>27636</v>
      </c>
      <c r="E20" s="229"/>
      <c r="F20" s="229"/>
      <c r="G20" s="229"/>
      <c r="H20" s="229"/>
      <c r="I20" s="230"/>
      <c r="J20" s="229"/>
      <c r="K20" s="38"/>
      <c r="L20" s="38"/>
      <c r="M20" s="38"/>
      <c r="N20" s="38"/>
      <c r="O20" s="38"/>
    </row>
    <row r="21" spans="1:15">
      <c r="A21" s="38"/>
      <c r="B21" s="58" t="s">
        <v>61</v>
      </c>
      <c r="C21" s="56">
        <f>SUM(C16:C20)</f>
        <v>489046.86</v>
      </c>
      <c r="D21" s="56">
        <f t="shared" ref="D21:J21" si="2">SUM(D16:D20)</f>
        <v>1759346.28</v>
      </c>
      <c r="E21" s="56">
        <f t="shared" si="2"/>
        <v>1726956.4</v>
      </c>
      <c r="F21" s="56">
        <f t="shared" si="2"/>
        <v>1978534.8199999998</v>
      </c>
      <c r="G21" s="56">
        <f t="shared" si="2"/>
        <v>2012570</v>
      </c>
      <c r="H21" s="56">
        <f t="shared" si="2"/>
        <v>1946489</v>
      </c>
      <c r="I21" s="56">
        <f t="shared" si="2"/>
        <v>1869885</v>
      </c>
      <c r="J21" s="56">
        <f t="shared" si="2"/>
        <v>1059580</v>
      </c>
      <c r="K21" s="38"/>
      <c r="L21" s="38"/>
      <c r="M21" s="38"/>
      <c r="N21" s="38"/>
      <c r="O21" s="38"/>
    </row>
    <row r="22" spans="1:15">
      <c r="A22" s="38"/>
      <c r="B22" s="58" t="s">
        <v>739</v>
      </c>
      <c r="C22" s="63">
        <f>(C21-D21)/D21</f>
        <v>-0.72202921871639725</v>
      </c>
      <c r="D22" s="63">
        <f>(D21-E21)/E21</f>
        <v>1.8755470607132944E-2</v>
      </c>
      <c r="E22" s="63">
        <f>(E21-F21)/F21</f>
        <v>-0.12715390068293059</v>
      </c>
      <c r="F22" s="63">
        <f t="shared" ref="F22:I22" si="3">(F21-G21)/G21</f>
        <v>-1.6911302464013758E-2</v>
      </c>
      <c r="G22" s="63">
        <f t="shared" si="3"/>
        <v>3.3948817589002561E-2</v>
      </c>
      <c r="H22" s="63">
        <f t="shared" si="3"/>
        <v>4.096722525716822E-2</v>
      </c>
      <c r="I22" s="63">
        <f t="shared" si="3"/>
        <v>0.76474169010362592</v>
      </c>
      <c r="J22" s="229"/>
      <c r="K22" s="38"/>
      <c r="L22" s="38"/>
      <c r="M22" s="38"/>
      <c r="N22" s="38"/>
      <c r="O22" s="38"/>
    </row>
    <row r="23" spans="1:15">
      <c r="A23" s="38"/>
      <c r="B23" s="231" t="s">
        <v>789</v>
      </c>
      <c r="C23" s="232"/>
      <c r="D23" s="232"/>
      <c r="E23" s="228"/>
      <c r="F23" s="228"/>
      <c r="G23" s="228"/>
      <c r="H23" s="228"/>
      <c r="I23" s="228"/>
      <c r="J23" s="215"/>
      <c r="K23" s="38"/>
      <c r="L23" s="38"/>
      <c r="M23" s="38"/>
      <c r="N23" s="38"/>
      <c r="O23" s="38"/>
    </row>
    <row r="24" spans="1:15">
      <c r="A24" s="38"/>
      <c r="B24" s="57" t="s">
        <v>688</v>
      </c>
      <c r="C24" s="47">
        <v>15266</v>
      </c>
      <c r="D24" s="47">
        <v>129199</v>
      </c>
      <c r="E24" s="50">
        <v>114508</v>
      </c>
      <c r="F24" s="50">
        <v>210352</v>
      </c>
      <c r="G24" s="50">
        <v>146486</v>
      </c>
      <c r="H24" s="50">
        <v>470782</v>
      </c>
      <c r="I24" s="50">
        <v>372829</v>
      </c>
      <c r="J24" s="50">
        <v>428793</v>
      </c>
      <c r="K24" s="38"/>
      <c r="L24" s="38"/>
      <c r="M24" s="38"/>
      <c r="N24" s="38"/>
      <c r="O24" s="38"/>
    </row>
    <row r="25" spans="1:15">
      <c r="A25" s="38"/>
      <c r="B25" s="201" t="s">
        <v>765</v>
      </c>
      <c r="C25" s="68">
        <v>388586.94</v>
      </c>
      <c r="D25" s="68">
        <v>340157</v>
      </c>
      <c r="E25" s="68">
        <v>272463</v>
      </c>
      <c r="F25" s="68">
        <v>246463</v>
      </c>
      <c r="G25" s="68">
        <v>267661</v>
      </c>
      <c r="H25" s="68">
        <v>279675</v>
      </c>
      <c r="I25" s="68">
        <v>345007</v>
      </c>
      <c r="J25" s="68">
        <v>1119022</v>
      </c>
      <c r="K25" s="38"/>
      <c r="L25" s="38"/>
      <c r="M25" s="38"/>
      <c r="N25" s="38"/>
      <c r="O25" s="38"/>
    </row>
    <row r="26" spans="1:15">
      <c r="A26" s="38"/>
      <c r="B26" s="201" t="s">
        <v>787</v>
      </c>
      <c r="C26" s="68">
        <v>0</v>
      </c>
      <c r="D26" s="68">
        <v>0</v>
      </c>
      <c r="E26" s="83">
        <v>0</v>
      </c>
      <c r="F26" s="83">
        <v>0</v>
      </c>
      <c r="G26" s="83">
        <v>0</v>
      </c>
      <c r="H26" s="83">
        <v>0</v>
      </c>
      <c r="I26" s="83">
        <v>0</v>
      </c>
      <c r="J26" s="83">
        <v>0</v>
      </c>
      <c r="K26" s="38"/>
      <c r="L26" s="38"/>
      <c r="M26" s="38"/>
      <c r="N26" s="38"/>
      <c r="O26" s="38"/>
    </row>
    <row r="27" spans="1:15">
      <c r="A27" s="38"/>
      <c r="B27" s="201" t="s">
        <v>767</v>
      </c>
      <c r="C27" s="68">
        <v>0</v>
      </c>
      <c r="D27" s="68">
        <v>0</v>
      </c>
      <c r="E27" s="68">
        <v>0</v>
      </c>
      <c r="F27" s="83">
        <v>0</v>
      </c>
      <c r="G27" s="83">
        <v>0</v>
      </c>
      <c r="H27" s="83">
        <v>0</v>
      </c>
      <c r="I27" s="68">
        <v>246</v>
      </c>
      <c r="J27" s="68">
        <v>303</v>
      </c>
      <c r="K27" s="38"/>
      <c r="L27" s="38"/>
      <c r="M27" s="38"/>
      <c r="N27" s="38"/>
      <c r="O27" s="38"/>
    </row>
    <row r="28" spans="1:15">
      <c r="A28" s="38"/>
      <c r="B28" s="57" t="s">
        <v>667</v>
      </c>
      <c r="C28" s="50">
        <v>0</v>
      </c>
      <c r="D28" s="50">
        <v>0</v>
      </c>
      <c r="E28" s="229"/>
      <c r="F28" s="229"/>
      <c r="G28" s="229"/>
      <c r="H28" s="229"/>
      <c r="I28" s="230"/>
      <c r="J28" s="229"/>
      <c r="K28" s="38"/>
      <c r="L28" s="38"/>
      <c r="M28" s="38"/>
      <c r="N28" s="38"/>
      <c r="O28" s="38"/>
    </row>
    <row r="29" spans="1:15">
      <c r="A29" s="38"/>
      <c r="B29" s="57" t="s">
        <v>711</v>
      </c>
      <c r="C29" s="50">
        <v>25144</v>
      </c>
      <c r="D29" s="50">
        <v>21347</v>
      </c>
      <c r="E29" s="229"/>
      <c r="F29" s="229"/>
      <c r="G29" s="229"/>
      <c r="H29" s="229"/>
      <c r="I29" s="230"/>
      <c r="J29" s="229"/>
      <c r="K29" s="38"/>
      <c r="L29" s="38"/>
      <c r="M29" s="38"/>
      <c r="N29" s="38"/>
      <c r="O29" s="38"/>
    </row>
    <row r="30" spans="1:15">
      <c r="A30" s="38"/>
      <c r="B30" s="58" t="s">
        <v>61</v>
      </c>
      <c r="C30" s="56">
        <f>SUM(C24:C29)</f>
        <v>428996.94</v>
      </c>
      <c r="D30" s="56">
        <f>SUM(D24:D29)</f>
        <v>490703</v>
      </c>
      <c r="E30" s="56">
        <f t="shared" ref="E30:J30" si="4">SUM(E24:E27)</f>
        <v>386971</v>
      </c>
      <c r="F30" s="56">
        <f t="shared" si="4"/>
        <v>456815</v>
      </c>
      <c r="G30" s="56">
        <f t="shared" si="4"/>
        <v>414147</v>
      </c>
      <c r="H30" s="56">
        <f t="shared" si="4"/>
        <v>750457</v>
      </c>
      <c r="I30" s="56">
        <f t="shared" si="4"/>
        <v>718082</v>
      </c>
      <c r="J30" s="56">
        <f t="shared" si="4"/>
        <v>1548118</v>
      </c>
      <c r="K30" s="38"/>
      <c r="L30" s="38"/>
      <c r="M30" s="38"/>
      <c r="N30" s="38"/>
      <c r="O30" s="38"/>
    </row>
    <row r="31" spans="1:15">
      <c r="A31" s="38"/>
      <c r="B31" s="58" t="s">
        <v>739</v>
      </c>
      <c r="C31" s="63">
        <f>(C30-D30)/D30</f>
        <v>-0.12575032147755363</v>
      </c>
      <c r="D31" s="63">
        <f>(D30-E30)/E30</f>
        <v>0.26806143095994273</v>
      </c>
      <c r="E31" s="63">
        <f>(E30-F30)/F30</f>
        <v>-0.15289340323763448</v>
      </c>
      <c r="F31" s="63">
        <f t="shared" ref="F31:I31" si="5">(F30-G30)/G30</f>
        <v>0.10302622015854274</v>
      </c>
      <c r="G31" s="63">
        <f t="shared" si="5"/>
        <v>-0.44814026653092714</v>
      </c>
      <c r="H31" s="63">
        <f t="shared" si="5"/>
        <v>4.5085380221200365E-2</v>
      </c>
      <c r="I31" s="63">
        <f t="shared" si="5"/>
        <v>-0.53615809647585</v>
      </c>
      <c r="J31" s="229"/>
      <c r="K31" s="38"/>
      <c r="L31" s="38"/>
      <c r="M31" s="38"/>
      <c r="N31" s="38"/>
      <c r="O31" s="38"/>
    </row>
    <row r="32" spans="1:15">
      <c r="A32" s="38"/>
      <c r="B32" s="67"/>
      <c r="C32" s="67"/>
      <c r="D32" s="67"/>
      <c r="E32" s="203"/>
      <c r="F32" s="203"/>
      <c r="G32" s="203"/>
      <c r="H32" s="203"/>
      <c r="I32" s="203"/>
      <c r="J32" s="203"/>
      <c r="K32" s="38"/>
      <c r="L32" s="38"/>
      <c r="M32" s="38"/>
      <c r="N32" s="38"/>
      <c r="O32" s="38"/>
    </row>
    <row r="33" spans="1:15">
      <c r="A33" s="38"/>
      <c r="B33" s="895" t="s">
        <v>761</v>
      </c>
      <c r="C33" s="895"/>
      <c r="D33" s="895"/>
      <c r="E33" s="895"/>
      <c r="F33" s="895"/>
      <c r="G33" s="895"/>
      <c r="H33" s="895"/>
      <c r="I33" s="895"/>
      <c r="J33" s="895"/>
      <c r="K33" s="38"/>
      <c r="L33" s="38"/>
      <c r="M33" s="38"/>
      <c r="N33" s="38"/>
      <c r="O33" s="38"/>
    </row>
    <row r="34" spans="1:15" ht="50.85" customHeight="1">
      <c r="A34" s="38"/>
      <c r="B34" s="888" t="s">
        <v>790</v>
      </c>
      <c r="C34" s="888"/>
      <c r="D34" s="888"/>
      <c r="E34" s="888"/>
      <c r="F34" s="888"/>
      <c r="G34" s="888"/>
      <c r="H34" s="888"/>
      <c r="I34" s="888"/>
      <c r="J34" s="888"/>
      <c r="K34" s="38"/>
      <c r="L34" s="38"/>
      <c r="M34" s="38"/>
      <c r="N34" s="38"/>
      <c r="O34" s="38"/>
    </row>
    <row r="35" spans="1:15">
      <c r="A35" s="38"/>
      <c r="B35" s="67"/>
      <c r="C35" s="67"/>
      <c r="D35" s="67"/>
      <c r="E35" s="203"/>
      <c r="F35" s="203"/>
      <c r="G35" s="203"/>
      <c r="H35" s="203"/>
      <c r="I35" s="203"/>
      <c r="J35" s="203"/>
      <c r="K35" s="38"/>
      <c r="L35" s="38"/>
      <c r="M35" s="38"/>
      <c r="N35" s="38"/>
      <c r="O35" s="38"/>
    </row>
    <row r="36" spans="1:15" ht="15.6">
      <c r="A36" s="38"/>
      <c r="B36" s="81" t="s">
        <v>326</v>
      </c>
      <c r="C36" s="81"/>
      <c r="D36" s="81"/>
      <c r="E36" s="38"/>
      <c r="F36" s="38"/>
      <c r="G36" s="38"/>
      <c r="H36" s="38"/>
      <c r="I36" s="38"/>
      <c r="J36" s="38"/>
      <c r="K36" s="38"/>
      <c r="L36" s="38"/>
      <c r="M36" s="38"/>
      <c r="N36" s="38"/>
      <c r="O36" s="38"/>
    </row>
    <row r="37" spans="1:15">
      <c r="A37" s="38"/>
      <c r="B37" s="211"/>
      <c r="C37" s="211"/>
      <c r="D37" s="211"/>
      <c r="E37" s="38"/>
      <c r="F37" s="38"/>
      <c r="G37" s="38"/>
      <c r="H37" s="38"/>
      <c r="I37" s="38"/>
      <c r="J37" s="38"/>
      <c r="K37" s="38"/>
      <c r="L37" s="38"/>
      <c r="M37" s="38"/>
      <c r="N37" s="38"/>
      <c r="O37" s="38"/>
    </row>
    <row r="38" spans="1:15">
      <c r="A38" s="38"/>
      <c r="B38" s="62"/>
      <c r="C38" s="62" t="s">
        <v>39</v>
      </c>
      <c r="D38" s="62" t="s">
        <v>40</v>
      </c>
      <c r="E38" s="62" t="s">
        <v>41</v>
      </c>
      <c r="F38" s="62" t="s">
        <v>42</v>
      </c>
      <c r="G38" s="62" t="s">
        <v>43</v>
      </c>
      <c r="H38" s="62" t="s">
        <v>96</v>
      </c>
      <c r="I38" s="62" t="s">
        <v>253</v>
      </c>
      <c r="J38" s="62" t="s">
        <v>254</v>
      </c>
      <c r="K38" s="38"/>
      <c r="L38" s="38"/>
      <c r="M38" s="38"/>
      <c r="N38" s="38"/>
      <c r="O38" s="38"/>
    </row>
    <row r="39" spans="1:15">
      <c r="A39" s="38"/>
      <c r="B39" s="226" t="s">
        <v>785</v>
      </c>
      <c r="C39" s="227"/>
      <c r="D39" s="227"/>
      <c r="E39" s="228"/>
      <c r="F39" s="228"/>
      <c r="G39" s="228"/>
      <c r="H39" s="228"/>
      <c r="I39" s="228"/>
      <c r="J39" s="215"/>
      <c r="K39" s="38"/>
      <c r="L39" s="38"/>
      <c r="M39" s="38"/>
      <c r="N39" s="38"/>
      <c r="O39" s="38"/>
    </row>
    <row r="40" spans="1:15">
      <c r="A40" s="38"/>
      <c r="B40" s="475" t="s">
        <v>791</v>
      </c>
      <c r="C40" s="68">
        <v>116578</v>
      </c>
      <c r="D40" s="50">
        <v>101828</v>
      </c>
      <c r="E40" s="50">
        <v>146539</v>
      </c>
      <c r="F40" s="50">
        <v>197146.37</v>
      </c>
      <c r="G40" s="50">
        <v>209924</v>
      </c>
      <c r="H40" s="50">
        <v>236906</v>
      </c>
      <c r="I40" s="50">
        <v>228108</v>
      </c>
      <c r="J40" s="50">
        <v>220704</v>
      </c>
      <c r="K40" s="38"/>
      <c r="L40" s="896"/>
      <c r="M40" s="896"/>
      <c r="N40" s="896"/>
      <c r="O40" s="896"/>
    </row>
    <row r="41" spans="1:15">
      <c r="A41" s="38"/>
      <c r="B41" s="57" t="s">
        <v>683</v>
      </c>
      <c r="C41" s="68">
        <v>778224</v>
      </c>
      <c r="D41" s="50">
        <v>813397.84</v>
      </c>
      <c r="E41" s="50">
        <v>814217</v>
      </c>
      <c r="F41" s="50">
        <v>961482.42</v>
      </c>
      <c r="G41" s="50">
        <v>1101228</v>
      </c>
      <c r="H41" s="50">
        <v>1097238</v>
      </c>
      <c r="I41" s="50">
        <v>1112672</v>
      </c>
      <c r="J41" s="50">
        <v>1153565</v>
      </c>
      <c r="K41" s="38"/>
      <c r="L41" s="896"/>
      <c r="M41" s="896"/>
      <c r="N41" s="896"/>
      <c r="O41" s="896"/>
    </row>
    <row r="42" spans="1:15">
      <c r="A42" s="38"/>
      <c r="B42" s="58" t="s">
        <v>792</v>
      </c>
      <c r="C42" s="56">
        <f>C41+C40</f>
        <v>894802</v>
      </c>
      <c r="D42" s="56">
        <f>D41+D40</f>
        <v>915225.84</v>
      </c>
      <c r="E42" s="56">
        <f>E41+E40</f>
        <v>960756</v>
      </c>
      <c r="F42" s="56">
        <f>SUM(F40:F41)</f>
        <v>1158628.79</v>
      </c>
      <c r="G42" s="56">
        <f>SUM(G40:G41)</f>
        <v>1311152</v>
      </c>
      <c r="H42" s="56">
        <f>SUM(H40:H41)</f>
        <v>1334144</v>
      </c>
      <c r="I42" s="56">
        <f>SUM(I40:I41)</f>
        <v>1340780</v>
      </c>
      <c r="J42" s="56">
        <f>SUM(J40:J41)</f>
        <v>1374269</v>
      </c>
      <c r="K42" s="38"/>
      <c r="L42" s="38"/>
      <c r="M42" s="38"/>
      <c r="N42" s="38"/>
      <c r="O42" s="38"/>
    </row>
    <row r="43" spans="1:15">
      <c r="A43" s="38"/>
      <c r="B43" s="58" t="s">
        <v>739</v>
      </c>
      <c r="C43" s="63">
        <f>(C42-D42)/D42</f>
        <v>-2.2315628675868646E-2</v>
      </c>
      <c r="D43" s="63">
        <f>(D42-E42)/E42</f>
        <v>-4.7389930429786578E-2</v>
      </c>
      <c r="E43" s="63">
        <f>(E42-F42)/F42</f>
        <v>-0.17078186879854765</v>
      </c>
      <c r="F43" s="63">
        <f t="shared" ref="F43:I43" si="6">(F42-G42)/G42</f>
        <v>-0.11632763401954919</v>
      </c>
      <c r="G43" s="63">
        <f t="shared" si="6"/>
        <v>-1.7233522018612682E-2</v>
      </c>
      <c r="H43" s="63">
        <f t="shared" si="6"/>
        <v>-4.9493578364832409E-3</v>
      </c>
      <c r="I43" s="63">
        <f t="shared" si="6"/>
        <v>-2.4368591593057837E-2</v>
      </c>
      <c r="J43" s="233"/>
      <c r="K43" s="38"/>
      <c r="L43" s="38"/>
      <c r="M43" s="38"/>
      <c r="N43" s="38"/>
      <c r="O43" s="38"/>
    </row>
    <row r="44" spans="1:15">
      <c r="A44" s="38"/>
      <c r="B44" s="231" t="s">
        <v>793</v>
      </c>
      <c r="C44" s="228"/>
      <c r="D44" s="227"/>
      <c r="E44" s="228"/>
      <c r="F44" s="228"/>
      <c r="G44" s="228"/>
      <c r="H44" s="228"/>
      <c r="I44" s="228"/>
      <c r="J44" s="215"/>
      <c r="K44" s="38"/>
      <c r="L44" s="38"/>
      <c r="M44" s="38"/>
      <c r="N44" s="38"/>
      <c r="O44" s="38"/>
    </row>
    <row r="45" spans="1:15">
      <c r="A45" s="38"/>
      <c r="B45" s="57" t="s">
        <v>756</v>
      </c>
      <c r="C45" s="83">
        <v>0.38</v>
      </c>
      <c r="D45" s="51">
        <v>0.32</v>
      </c>
      <c r="E45" s="152">
        <v>0.38</v>
      </c>
      <c r="F45" s="51">
        <v>0.55000000000000004</v>
      </c>
      <c r="G45" s="51">
        <v>0.62</v>
      </c>
      <c r="H45" s="51">
        <v>0.67</v>
      </c>
      <c r="I45" s="51">
        <v>0.64</v>
      </c>
      <c r="J45" s="222">
        <v>0.65</v>
      </c>
      <c r="K45" s="38"/>
      <c r="L45" s="234"/>
      <c r="M45" s="38"/>
      <c r="N45" s="38"/>
      <c r="O45" s="38"/>
    </row>
    <row r="46" spans="1:15">
      <c r="A46" s="38"/>
      <c r="B46" s="52" t="s">
        <v>683</v>
      </c>
      <c r="C46" s="83">
        <v>0.99</v>
      </c>
      <c r="D46" s="51">
        <v>0.95</v>
      </c>
      <c r="E46" s="84">
        <v>0.88</v>
      </c>
      <c r="F46" s="84">
        <v>0.97</v>
      </c>
      <c r="G46" s="235">
        <v>1.05</v>
      </c>
      <c r="H46" s="235">
        <v>1.04</v>
      </c>
      <c r="I46" s="84">
        <v>1.0900000000000001</v>
      </c>
      <c r="J46" s="84">
        <v>1.1100000000000001</v>
      </c>
      <c r="K46" s="38"/>
      <c r="L46" s="234"/>
      <c r="M46" s="38"/>
      <c r="N46" s="38"/>
      <c r="O46" s="38"/>
    </row>
    <row r="47" spans="1:15">
      <c r="A47" s="38"/>
      <c r="B47" s="58" t="s">
        <v>794</v>
      </c>
      <c r="C47" s="224">
        <f>(0.39*(165562+89859)+(0.99*789958))/(789958+165562+89859)</f>
        <v>0.84339996307559273</v>
      </c>
      <c r="D47" s="210">
        <v>0.81</v>
      </c>
      <c r="E47" s="209">
        <v>0.77</v>
      </c>
      <c r="F47" s="209">
        <v>0.88</v>
      </c>
      <c r="G47" s="209">
        <v>0.96</v>
      </c>
      <c r="H47" s="209">
        <v>0.96</v>
      </c>
      <c r="I47" s="209">
        <v>0.95</v>
      </c>
      <c r="J47" s="209">
        <v>1</v>
      </c>
      <c r="K47" s="38"/>
      <c r="L47" s="38"/>
      <c r="M47" s="38"/>
      <c r="N47" s="38"/>
      <c r="O47" s="38"/>
    </row>
    <row r="48" spans="1:15">
      <c r="A48" s="38"/>
      <c r="B48" s="58" t="s">
        <v>739</v>
      </c>
      <c r="C48" s="63">
        <f>(C47-D47)/D47</f>
        <v>4.1234522315546508E-2</v>
      </c>
      <c r="D48" s="63">
        <f>(D47-E47)/E47</f>
        <v>5.1948051948051993E-2</v>
      </c>
      <c r="E48" s="63">
        <f>(E47-F47)/F47</f>
        <v>-0.12499999999999999</v>
      </c>
      <c r="F48" s="63">
        <f t="shared" ref="F48:H48" si="7">(F47-G47)/G47</f>
        <v>-8.3333333333333301E-2</v>
      </c>
      <c r="G48" s="63">
        <f t="shared" si="7"/>
        <v>0</v>
      </c>
      <c r="H48" s="63">
        <f t="shared" si="7"/>
        <v>1.0526315789473694E-2</v>
      </c>
      <c r="I48" s="63">
        <f>(I47-J47)/J47</f>
        <v>-5.0000000000000044E-2</v>
      </c>
      <c r="J48" s="233"/>
      <c r="K48" s="38"/>
      <c r="L48" s="38"/>
      <c r="M48" s="38"/>
      <c r="N48" s="38"/>
      <c r="O48" s="38"/>
    </row>
    <row r="49" spans="1:15">
      <c r="A49" s="38"/>
      <c r="B49" s="73"/>
      <c r="C49" s="73"/>
      <c r="D49" s="73"/>
      <c r="E49" s="206"/>
      <c r="F49" s="206"/>
      <c r="G49" s="207"/>
      <c r="H49" s="207"/>
      <c r="I49" s="206"/>
      <c r="J49" s="206"/>
      <c r="K49" s="38"/>
      <c r="L49" s="38"/>
      <c r="M49" s="38"/>
      <c r="N49" s="38"/>
      <c r="O49" s="38"/>
    </row>
    <row r="50" spans="1:15">
      <c r="A50" s="38"/>
      <c r="B50" s="888" t="s">
        <v>795</v>
      </c>
      <c r="C50" s="888"/>
      <c r="D50" s="888"/>
      <c r="E50" s="888"/>
      <c r="F50" s="888"/>
      <c r="G50" s="888"/>
      <c r="H50" s="888"/>
      <c r="I50" s="888"/>
      <c r="J50" s="888"/>
      <c r="K50" s="38"/>
      <c r="L50" s="38"/>
      <c r="M50" s="38"/>
      <c r="N50" s="38"/>
      <c r="O50" s="38"/>
    </row>
    <row r="51" spans="1:15">
      <c r="A51" s="38"/>
      <c r="B51" s="73"/>
      <c r="C51" s="73"/>
      <c r="D51" s="236"/>
      <c r="E51" s="206"/>
      <c r="F51" s="206"/>
      <c r="G51" s="207"/>
      <c r="H51" s="207"/>
      <c r="I51" s="206"/>
      <c r="J51" s="206"/>
      <c r="K51" s="38"/>
      <c r="L51" s="38"/>
      <c r="M51" s="38"/>
      <c r="N51" s="38"/>
      <c r="O51" s="38"/>
    </row>
    <row r="52" spans="1:15">
      <c r="A52" s="38"/>
      <c r="B52" s="216"/>
      <c r="C52" s="760"/>
      <c r="D52" s="760"/>
      <c r="E52" s="38"/>
      <c r="F52" s="38"/>
      <c r="G52" s="38"/>
      <c r="H52" s="38"/>
      <c r="I52" s="38"/>
      <c r="J52" s="38"/>
      <c r="K52" s="38"/>
      <c r="L52" s="38"/>
      <c r="M52" s="38"/>
      <c r="N52" s="38"/>
      <c r="O52" s="38"/>
    </row>
    <row r="53" spans="1:15">
      <c r="C53" s="761"/>
      <c r="D53" s="761"/>
    </row>
  </sheetData>
  <sheetProtection algorithmName="SHA-512" hashValue="BeT4b6fTnsHNFBXKRdVWsrGBbAJQysozqxiYFslImB0Vr6TxBNGcDZUSexvL/YY3j3qD5egId1VTAHu36gAx6g==" saltValue="e+44ZELSwXcsxkLiqcH/GQ==" spinCount="100000" sheet="1" objects="1" scenarios="1"/>
  <mergeCells count="4">
    <mergeCell ref="B33:J33"/>
    <mergeCell ref="B34:J34"/>
    <mergeCell ref="L40:O41"/>
    <mergeCell ref="B50:J50"/>
  </mergeCells>
  <hyperlinks>
    <hyperlink ref="A1" location="'Data Pack Overview'!A1" display="H" xr:uid="{7FBE170B-1D2D-4DAB-9BF7-49CEF98D520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9327B-4C2D-4479-B97A-E263D9D955CB}">
  <sheetPr>
    <tabColor rgb="FF92D050"/>
  </sheetPr>
  <dimension ref="A1:AC35"/>
  <sheetViews>
    <sheetView showGridLines="0" zoomScale="110" zoomScaleNormal="110" workbookViewId="0">
      <selection activeCell="C2" sqref="C2"/>
    </sheetView>
  </sheetViews>
  <sheetFormatPr defaultRowHeight="14.4"/>
  <cols>
    <col min="1" max="1" width="2.44140625" customWidth="1"/>
    <col min="2" max="2" width="26.44140625" customWidth="1"/>
    <col min="3" max="3" width="9.44140625" customWidth="1"/>
    <col min="4" max="4" width="8.5546875" customWidth="1"/>
    <col min="8" max="10" width="0" hidden="1" customWidth="1"/>
    <col min="15" max="15" width="9.44140625" customWidth="1"/>
    <col min="16" max="17" width="8.5546875" hidden="1" customWidth="1"/>
    <col min="18" max="18" width="9.44140625" hidden="1" customWidth="1"/>
    <col min="19" max="19" width="9.44140625" customWidth="1"/>
  </cols>
  <sheetData>
    <row r="1" spans="1:24">
      <c r="A1" s="18" t="s">
        <v>32</v>
      </c>
      <c r="B1" s="38"/>
      <c r="C1" s="38"/>
      <c r="D1" s="38"/>
      <c r="E1" s="38"/>
      <c r="F1" s="38"/>
      <c r="G1" s="38"/>
      <c r="H1" s="38"/>
      <c r="I1" s="38"/>
      <c r="J1" s="38"/>
      <c r="K1" s="38"/>
      <c r="L1" s="38"/>
      <c r="M1" s="38"/>
      <c r="N1" s="38"/>
      <c r="O1" s="38"/>
      <c r="P1" s="38"/>
      <c r="Q1" s="38"/>
      <c r="R1" s="38"/>
      <c r="S1" s="38"/>
    </row>
    <row r="2" spans="1:24" ht="21">
      <c r="A2" s="38"/>
      <c r="B2" s="39" t="s">
        <v>796</v>
      </c>
      <c r="C2" s="39"/>
      <c r="D2" s="39"/>
      <c r="E2" s="38"/>
      <c r="F2" s="38"/>
      <c r="G2" s="38"/>
      <c r="H2" s="38"/>
      <c r="I2" s="38"/>
      <c r="J2" s="38"/>
      <c r="K2" s="38"/>
      <c r="L2" s="38"/>
      <c r="M2" s="38"/>
      <c r="N2" s="38"/>
      <c r="O2" s="38"/>
      <c r="P2" s="38"/>
      <c r="Q2" s="38"/>
      <c r="R2" s="38"/>
      <c r="S2" s="38"/>
    </row>
    <row r="3" spans="1:24">
      <c r="A3" s="38"/>
      <c r="B3" s="225"/>
      <c r="C3" s="225"/>
      <c r="D3" s="225"/>
      <c r="E3" s="202"/>
      <c r="F3" s="202"/>
      <c r="G3" s="38"/>
      <c r="H3" s="38"/>
      <c r="I3" s="38"/>
      <c r="J3" s="38"/>
      <c r="K3" s="38"/>
      <c r="L3" s="38"/>
      <c r="M3" s="38"/>
      <c r="N3" s="38"/>
      <c r="O3" s="38"/>
      <c r="P3" s="38"/>
      <c r="Q3" s="38"/>
      <c r="R3" s="38"/>
      <c r="S3" s="38"/>
    </row>
    <row r="4" spans="1:24" ht="15.6">
      <c r="A4" s="461"/>
      <c r="B4" s="81" t="s">
        <v>797</v>
      </c>
      <c r="C4" s="81"/>
      <c r="D4" s="81"/>
      <c r="E4" s="461"/>
      <c r="F4" s="461"/>
      <c r="G4" s="461"/>
      <c r="H4" s="461"/>
      <c r="I4" s="461"/>
      <c r="J4" s="461"/>
      <c r="K4" s="461"/>
      <c r="L4" s="461"/>
      <c r="M4" s="461"/>
      <c r="N4" s="461"/>
      <c r="O4" s="461"/>
      <c r="P4" s="461"/>
      <c r="Q4" s="461"/>
      <c r="R4" s="461"/>
      <c r="S4" s="461"/>
    </row>
    <row r="5" spans="1:24" ht="15.6">
      <c r="A5" s="461"/>
      <c r="B5" s="81"/>
      <c r="C5" s="81"/>
      <c r="D5" s="81"/>
      <c r="E5" s="461"/>
      <c r="F5" s="461"/>
      <c r="G5" s="461"/>
      <c r="H5" s="461"/>
      <c r="I5" s="461"/>
      <c r="J5" s="461"/>
      <c r="K5" s="461"/>
      <c r="L5" s="461"/>
      <c r="M5" s="461"/>
      <c r="N5" s="461"/>
      <c r="O5" s="461"/>
      <c r="P5" s="461"/>
      <c r="Q5" s="461"/>
      <c r="R5" s="461"/>
      <c r="S5" s="461"/>
    </row>
    <row r="6" spans="1:24" ht="18.75" customHeight="1">
      <c r="A6" s="38"/>
      <c r="B6" s="211"/>
      <c r="C6" s="737" t="s">
        <v>683</v>
      </c>
      <c r="D6" s="737"/>
      <c r="E6" s="737"/>
      <c r="F6" s="737"/>
      <c r="G6" s="737"/>
      <c r="H6" s="62"/>
      <c r="I6" s="62"/>
      <c r="J6" s="62"/>
      <c r="K6" s="737" t="s">
        <v>756</v>
      </c>
      <c r="L6" s="737"/>
      <c r="M6" s="737"/>
      <c r="N6" s="737"/>
      <c r="O6" s="737"/>
      <c r="P6" s="62"/>
      <c r="Q6" s="62"/>
      <c r="R6" s="62"/>
      <c r="S6" s="38"/>
    </row>
    <row r="7" spans="1:24">
      <c r="A7" s="38"/>
      <c r="B7" s="153"/>
      <c r="C7" s="62" t="s">
        <v>39</v>
      </c>
      <c r="D7" s="62" t="s">
        <v>40</v>
      </c>
      <c r="E7" s="62" t="s">
        <v>41</v>
      </c>
      <c r="F7" s="62" t="s">
        <v>42</v>
      </c>
      <c r="G7" s="62" t="s">
        <v>43</v>
      </c>
      <c r="H7" s="62" t="s">
        <v>96</v>
      </c>
      <c r="I7" s="62" t="s">
        <v>798</v>
      </c>
      <c r="J7" s="62" t="s">
        <v>254</v>
      </c>
      <c r="K7" s="476" t="s">
        <v>39</v>
      </c>
      <c r="L7" s="476" t="s">
        <v>40</v>
      </c>
      <c r="M7" s="476" t="s">
        <v>41</v>
      </c>
      <c r="N7" s="476" t="s">
        <v>42</v>
      </c>
      <c r="O7" s="476" t="s">
        <v>43</v>
      </c>
      <c r="P7" s="476" t="s">
        <v>96</v>
      </c>
      <c r="Q7" s="476" t="s">
        <v>253</v>
      </c>
      <c r="R7" s="476" t="s">
        <v>254</v>
      </c>
      <c r="S7" s="38"/>
      <c r="T7" s="38"/>
    </row>
    <row r="8" spans="1:24">
      <c r="A8" s="38"/>
      <c r="B8" s="57" t="s">
        <v>799</v>
      </c>
      <c r="C8" s="68">
        <v>13240</v>
      </c>
      <c r="D8" s="68">
        <v>10895.57</v>
      </c>
      <c r="E8" s="50">
        <f>12818.78+158.89</f>
        <v>12977.67</v>
      </c>
      <c r="F8" s="50">
        <v>14367</v>
      </c>
      <c r="G8" s="50">
        <v>17265</v>
      </c>
      <c r="H8" s="50">
        <v>17577</v>
      </c>
      <c r="I8" s="219">
        <v>17351</v>
      </c>
      <c r="J8" s="50">
        <v>17895</v>
      </c>
      <c r="K8" s="50">
        <f>169.46+177.98</f>
        <v>347.44</v>
      </c>
      <c r="L8" s="68">
        <v>307</v>
      </c>
      <c r="M8" s="50">
        <v>341.6</v>
      </c>
      <c r="N8" s="50">
        <v>531</v>
      </c>
      <c r="O8" s="50">
        <v>1007</v>
      </c>
      <c r="P8" s="50">
        <v>1043</v>
      </c>
      <c r="Q8" s="50">
        <v>1193</v>
      </c>
      <c r="R8" s="50">
        <v>1182</v>
      </c>
      <c r="S8" s="38"/>
      <c r="T8" s="38"/>
      <c r="X8" s="477"/>
    </row>
    <row r="9" spans="1:24">
      <c r="A9" s="38"/>
      <c r="B9" s="57" t="s">
        <v>800</v>
      </c>
      <c r="C9" s="68">
        <v>7994</v>
      </c>
      <c r="D9" s="68">
        <v>6560.59</v>
      </c>
      <c r="E9" s="50">
        <f>7982.5+147.6</f>
        <v>8130.1</v>
      </c>
      <c r="F9" s="50">
        <v>9212</v>
      </c>
      <c r="G9" s="50">
        <v>10768</v>
      </c>
      <c r="H9" s="50">
        <v>11730</v>
      </c>
      <c r="I9" s="219">
        <v>11969</v>
      </c>
      <c r="J9" s="50">
        <v>10858</v>
      </c>
      <c r="K9" s="50">
        <f>18.21+55.9</f>
        <v>74.11</v>
      </c>
      <c r="L9" s="462">
        <v>91</v>
      </c>
      <c r="M9" s="223">
        <v>69</v>
      </c>
      <c r="N9" s="223">
        <v>339</v>
      </c>
      <c r="O9" s="51">
        <v>712</v>
      </c>
      <c r="P9" s="51">
        <v>661</v>
      </c>
      <c r="Q9" s="51">
        <v>739</v>
      </c>
      <c r="R9" s="51">
        <v>680</v>
      </c>
      <c r="S9" s="38"/>
      <c r="T9" s="38"/>
      <c r="X9" s="477"/>
    </row>
    <row r="10" spans="1:24">
      <c r="A10" s="38"/>
      <c r="B10" s="57" t="s">
        <v>801</v>
      </c>
      <c r="C10" s="68">
        <v>5246</v>
      </c>
      <c r="D10" s="68">
        <v>4334.9799999999996</v>
      </c>
      <c r="E10" s="50">
        <f>4836.28+11.29</f>
        <v>4847.57</v>
      </c>
      <c r="F10" s="50">
        <v>5155</v>
      </c>
      <c r="G10" s="50">
        <v>6497</v>
      </c>
      <c r="H10" s="50">
        <v>5846</v>
      </c>
      <c r="I10" s="219">
        <v>5382</v>
      </c>
      <c r="J10" s="50">
        <v>7038</v>
      </c>
      <c r="K10" s="50">
        <f>151.25+122.08</f>
        <v>273.33</v>
      </c>
      <c r="L10" s="462">
        <v>216</v>
      </c>
      <c r="M10" s="223">
        <v>273</v>
      </c>
      <c r="N10" s="223">
        <v>192</v>
      </c>
      <c r="O10" s="51">
        <v>295</v>
      </c>
      <c r="P10" s="51">
        <v>383</v>
      </c>
      <c r="Q10" s="51">
        <v>454</v>
      </c>
      <c r="R10" s="51">
        <v>502</v>
      </c>
      <c r="S10" s="38"/>
      <c r="T10" s="38"/>
    </row>
    <row r="11" spans="1:24">
      <c r="A11" s="38"/>
      <c r="B11" s="57" t="s">
        <v>802</v>
      </c>
      <c r="C11" s="114">
        <f>C10/C8</f>
        <v>0.39622356495468281</v>
      </c>
      <c r="D11" s="114">
        <f>D10/D8</f>
        <v>0.39786628877608055</v>
      </c>
      <c r="E11" s="98">
        <f>E10/E8</f>
        <v>0.37353161237726029</v>
      </c>
      <c r="F11" s="98">
        <f>F10/F8</f>
        <v>0.35880838031600193</v>
      </c>
      <c r="G11" s="98">
        <v>0.38</v>
      </c>
      <c r="H11" s="98">
        <v>0.33</v>
      </c>
      <c r="I11" s="418">
        <v>0.31</v>
      </c>
      <c r="J11" s="98">
        <v>0.39</v>
      </c>
      <c r="K11" s="114">
        <f>K10/K8</f>
        <v>0.78669698365185348</v>
      </c>
      <c r="L11" s="114">
        <f>L10/L8</f>
        <v>0.70358306188925079</v>
      </c>
      <c r="M11" s="98">
        <f>M10/M8</f>
        <v>0.7991803278688524</v>
      </c>
      <c r="N11" s="98">
        <f>N10/N8</f>
        <v>0.3615819209039548</v>
      </c>
      <c r="O11" s="98">
        <v>0.28999999999999998</v>
      </c>
      <c r="P11" s="98">
        <v>0.37</v>
      </c>
      <c r="Q11" s="98">
        <v>0.38</v>
      </c>
      <c r="R11" s="98">
        <v>0.42</v>
      </c>
      <c r="S11" s="38"/>
      <c r="T11" s="38"/>
    </row>
    <row r="12" spans="1:24">
      <c r="A12" s="38"/>
      <c r="B12" s="57" t="s">
        <v>803</v>
      </c>
      <c r="C12" s="114">
        <v>0.83</v>
      </c>
      <c r="D12" s="114">
        <v>0.92</v>
      </c>
      <c r="E12" s="98">
        <v>0.87</v>
      </c>
      <c r="F12" s="98">
        <v>0.97</v>
      </c>
      <c r="G12" s="98">
        <v>0.97</v>
      </c>
      <c r="H12" s="98">
        <v>0.97</v>
      </c>
      <c r="I12" s="418">
        <v>0.95</v>
      </c>
      <c r="J12" s="98">
        <v>0.95</v>
      </c>
      <c r="K12" s="114">
        <v>0.63</v>
      </c>
      <c r="L12" s="114">
        <v>0.71</v>
      </c>
      <c r="M12" s="98">
        <v>0.59</v>
      </c>
      <c r="N12" s="98">
        <v>0.7</v>
      </c>
      <c r="O12" s="98">
        <v>0.85</v>
      </c>
      <c r="P12" s="98">
        <v>0.85</v>
      </c>
      <c r="Q12" s="98">
        <v>0.85</v>
      </c>
      <c r="R12" s="98">
        <v>1</v>
      </c>
      <c r="S12" s="38"/>
      <c r="T12" s="214"/>
    </row>
    <row r="13" spans="1:24">
      <c r="A13" s="38"/>
      <c r="B13" s="697"/>
      <c r="C13" s="706"/>
      <c r="D13" s="706"/>
      <c r="E13" s="707"/>
      <c r="F13" s="707"/>
      <c r="G13" s="707"/>
      <c r="H13" s="707"/>
      <c r="I13" s="708"/>
      <c r="J13" s="707"/>
      <c r="K13" s="706"/>
      <c r="L13" s="706"/>
      <c r="M13" s="707"/>
      <c r="N13" s="707"/>
      <c r="O13" s="707"/>
      <c r="P13" s="208"/>
      <c r="Q13" s="208"/>
      <c r="R13" s="208"/>
      <c r="S13" s="38"/>
      <c r="T13" s="214"/>
    </row>
    <row r="14" spans="1:24" ht="20.7" customHeight="1">
      <c r="A14" s="38"/>
      <c r="B14" s="890" t="s">
        <v>804</v>
      </c>
      <c r="C14" s="890"/>
      <c r="D14" s="890"/>
      <c r="E14" s="890"/>
      <c r="F14" s="890"/>
      <c r="G14" s="890"/>
      <c r="H14" s="890"/>
      <c r="I14" s="890"/>
      <c r="J14" s="890"/>
      <c r="K14" s="890"/>
      <c r="L14" s="890"/>
      <c r="M14" s="890"/>
      <c r="N14" s="890"/>
      <c r="O14" s="890"/>
      <c r="P14" s="112"/>
      <c r="Q14" s="112"/>
      <c r="R14" s="38"/>
      <c r="S14" s="38"/>
    </row>
    <row r="15" spans="1:24" ht="13.5" customHeight="1">
      <c r="A15" s="38"/>
      <c r="B15" s="73"/>
      <c r="C15" s="252"/>
      <c r="D15" s="73"/>
      <c r="E15" s="112"/>
      <c r="F15" s="112"/>
      <c r="G15" s="112"/>
      <c r="H15" s="112"/>
      <c r="I15" s="463"/>
      <c r="J15" s="112"/>
      <c r="K15" s="112"/>
      <c r="L15" s="112"/>
      <c r="M15" s="112"/>
      <c r="N15" s="112"/>
      <c r="O15" s="112"/>
      <c r="P15" s="112"/>
      <c r="Q15" s="112"/>
      <c r="R15" s="38"/>
      <c r="S15" s="38"/>
    </row>
    <row r="16" spans="1:24" ht="18">
      <c r="A16" s="461"/>
      <c r="B16" s="81" t="s">
        <v>805</v>
      </c>
      <c r="C16" s="81"/>
      <c r="D16" s="81"/>
      <c r="E16" s="461"/>
      <c r="F16" s="461"/>
      <c r="G16" s="461"/>
      <c r="H16" s="461"/>
      <c r="I16" s="461"/>
      <c r="J16" s="461"/>
      <c r="K16" s="461"/>
      <c r="L16" s="461"/>
      <c r="M16" s="461"/>
      <c r="N16" s="461"/>
      <c r="O16" s="461"/>
      <c r="P16" s="461"/>
      <c r="Q16" s="461"/>
      <c r="R16" s="461"/>
      <c r="S16" s="461"/>
    </row>
    <row r="17" spans="1:29" ht="15.6">
      <c r="A17" s="461"/>
      <c r="B17" s="81"/>
      <c r="C17" s="81"/>
      <c r="D17" s="81"/>
      <c r="E17" s="461"/>
      <c r="F17" s="461"/>
      <c r="G17" s="461"/>
      <c r="H17" s="461"/>
      <c r="I17" s="461"/>
      <c r="J17" s="461"/>
      <c r="K17" s="461"/>
      <c r="L17" s="461"/>
      <c r="M17" s="461"/>
      <c r="N17" s="461"/>
      <c r="O17" s="461"/>
      <c r="P17" s="461"/>
      <c r="Q17" s="461"/>
      <c r="R17" s="461"/>
      <c r="S17" s="461"/>
    </row>
    <row r="18" spans="1:29">
      <c r="A18" s="38"/>
      <c r="B18" s="153"/>
      <c r="C18" s="62" t="s">
        <v>39</v>
      </c>
      <c r="D18" s="62" t="s">
        <v>325</v>
      </c>
      <c r="E18" s="62" t="s">
        <v>41</v>
      </c>
      <c r="F18" s="62" t="s">
        <v>42</v>
      </c>
      <c r="G18" s="62" t="s">
        <v>43</v>
      </c>
      <c r="H18" s="62" t="s">
        <v>96</v>
      </c>
      <c r="I18" s="62" t="s">
        <v>253</v>
      </c>
      <c r="J18" s="62" t="s">
        <v>254</v>
      </c>
      <c r="K18" s="206"/>
      <c r="L18" s="142"/>
      <c r="M18" s="38"/>
      <c r="N18" s="38"/>
      <c r="O18" s="38"/>
      <c r="P18" s="38"/>
      <c r="Q18" s="38"/>
      <c r="R18" s="38"/>
      <c r="S18" s="38"/>
    </row>
    <row r="19" spans="1:29">
      <c r="A19" s="38"/>
      <c r="B19" s="57" t="s">
        <v>799</v>
      </c>
      <c r="C19" s="68">
        <v>25702</v>
      </c>
      <c r="D19" s="68">
        <v>15976.58</v>
      </c>
      <c r="E19" s="50">
        <v>40036.54</v>
      </c>
      <c r="F19" s="50">
        <v>49566.74</v>
      </c>
      <c r="G19" s="50">
        <v>41093</v>
      </c>
      <c r="H19" s="50">
        <v>19625</v>
      </c>
      <c r="I19" s="50">
        <v>41237</v>
      </c>
      <c r="J19" s="50">
        <v>35424</v>
      </c>
      <c r="K19" s="205"/>
      <c r="L19" s="206"/>
      <c r="M19" s="38"/>
      <c r="N19" s="38"/>
      <c r="O19" s="38"/>
      <c r="P19" s="38"/>
      <c r="Q19" s="38"/>
      <c r="R19" s="38"/>
      <c r="S19" s="38"/>
    </row>
    <row r="20" spans="1:29">
      <c r="A20" s="38"/>
      <c r="B20" s="57" t="s">
        <v>806</v>
      </c>
      <c r="C20" s="68">
        <v>24219</v>
      </c>
      <c r="D20" s="68">
        <v>14085.82</v>
      </c>
      <c r="E20" s="50">
        <v>39072.67</v>
      </c>
      <c r="F20" s="50">
        <v>48632.88</v>
      </c>
      <c r="G20" s="50">
        <v>40430</v>
      </c>
      <c r="H20" s="50">
        <v>18441</v>
      </c>
      <c r="I20" s="50">
        <v>39923</v>
      </c>
      <c r="J20" s="50">
        <v>33881</v>
      </c>
      <c r="K20" s="205"/>
      <c r="L20" s="206"/>
      <c r="M20" s="38"/>
      <c r="N20" s="38"/>
      <c r="O20" s="38"/>
      <c r="P20" s="38"/>
      <c r="Q20" s="38"/>
      <c r="R20" s="38"/>
      <c r="S20" s="38"/>
    </row>
    <row r="21" spans="1:29">
      <c r="A21" s="38"/>
      <c r="B21" s="57" t="s">
        <v>807</v>
      </c>
      <c r="C21" s="462">
        <v>1483</v>
      </c>
      <c r="D21" s="68">
        <v>1890.7599999999998</v>
      </c>
      <c r="E21" s="223">
        <v>963.87</v>
      </c>
      <c r="F21" s="223">
        <v>933.86</v>
      </c>
      <c r="G21" s="51">
        <v>663</v>
      </c>
      <c r="H21" s="50">
        <v>1184</v>
      </c>
      <c r="I21" s="50">
        <v>1314</v>
      </c>
      <c r="J21" s="50">
        <v>1542</v>
      </c>
      <c r="K21" s="205"/>
      <c r="L21" s="206"/>
      <c r="M21" s="38"/>
      <c r="N21" s="38"/>
      <c r="O21" s="38"/>
      <c r="P21" s="38"/>
      <c r="Q21" s="38"/>
      <c r="R21" s="38"/>
      <c r="S21" s="38"/>
    </row>
    <row r="22" spans="1:29">
      <c r="A22" s="38"/>
      <c r="B22" s="57" t="s">
        <v>802</v>
      </c>
      <c r="C22" s="114">
        <f>C20/C19</f>
        <v>0.94230021010038134</v>
      </c>
      <c r="D22" s="114">
        <v>0.88165427143982</v>
      </c>
      <c r="E22" s="98">
        <v>0.98</v>
      </c>
      <c r="F22" s="98">
        <v>0.98</v>
      </c>
      <c r="G22" s="98">
        <v>0.98</v>
      </c>
      <c r="H22" s="98">
        <v>0.94</v>
      </c>
      <c r="I22" s="98">
        <v>0.97</v>
      </c>
      <c r="J22" s="98">
        <v>0.96</v>
      </c>
      <c r="K22" s="208"/>
      <c r="L22" s="212"/>
      <c r="M22" s="38"/>
      <c r="N22" s="38"/>
      <c r="O22" s="38"/>
      <c r="P22" s="38"/>
      <c r="Q22" s="38"/>
      <c r="R22" s="38"/>
      <c r="S22" s="38"/>
      <c r="X22" s="478"/>
      <c r="Y22" s="478"/>
      <c r="AA22" s="479"/>
      <c r="AB22" s="479"/>
      <c r="AC22" s="479"/>
    </row>
    <row r="23" spans="1:29">
      <c r="A23" s="38"/>
      <c r="B23" s="38"/>
      <c r="C23" s="38"/>
      <c r="D23" s="38"/>
      <c r="E23" s="38"/>
      <c r="F23" s="38"/>
      <c r="G23" s="38"/>
      <c r="H23" s="38"/>
      <c r="I23" s="38"/>
      <c r="J23" s="38"/>
      <c r="K23" s="38"/>
      <c r="L23" s="38"/>
      <c r="M23" s="38"/>
      <c r="N23" s="38"/>
      <c r="O23" s="38"/>
      <c r="P23" s="38"/>
      <c r="Q23" s="38"/>
      <c r="R23" s="38"/>
      <c r="S23" s="38"/>
    </row>
    <row r="24" spans="1:29">
      <c r="A24" s="38"/>
      <c r="B24" s="38" t="s">
        <v>808</v>
      </c>
      <c r="C24" s="38"/>
      <c r="D24" s="38"/>
      <c r="E24" s="38"/>
      <c r="F24" s="38"/>
      <c r="G24" s="38"/>
      <c r="H24" s="38"/>
      <c r="I24" s="38"/>
      <c r="J24" s="38"/>
      <c r="K24" s="38"/>
      <c r="L24" s="38"/>
      <c r="M24" s="38"/>
      <c r="N24" s="38"/>
      <c r="O24" s="38"/>
      <c r="P24" s="38"/>
      <c r="Q24" s="38"/>
      <c r="R24" s="38"/>
      <c r="S24" s="38"/>
    </row>
    <row r="25" spans="1:29" ht="30.6" customHeight="1">
      <c r="A25" s="38"/>
      <c r="B25" s="829" t="s">
        <v>809</v>
      </c>
      <c r="C25" s="829"/>
      <c r="D25" s="829"/>
      <c r="E25" s="829"/>
      <c r="F25" s="829"/>
      <c r="G25" s="829"/>
      <c r="H25" s="829"/>
      <c r="I25" s="829"/>
      <c r="J25" s="829"/>
      <c r="K25" s="829"/>
      <c r="L25" s="829"/>
      <c r="M25" s="829"/>
      <c r="N25" s="829"/>
      <c r="O25" s="829"/>
      <c r="P25" s="38"/>
      <c r="Q25" s="38"/>
      <c r="R25" s="38"/>
      <c r="S25" s="38"/>
    </row>
    <row r="26" spans="1:29">
      <c r="A26" s="38"/>
      <c r="B26" s="38"/>
      <c r="C26" s="38"/>
      <c r="D26" s="38"/>
      <c r="E26" s="38"/>
      <c r="F26" s="38"/>
      <c r="G26" s="38"/>
      <c r="H26" s="38"/>
      <c r="I26" s="38"/>
      <c r="J26" s="38"/>
      <c r="K26" s="38"/>
      <c r="L26" s="38"/>
      <c r="M26" s="38"/>
      <c r="N26" s="38"/>
      <c r="O26" s="38"/>
      <c r="P26" s="38"/>
      <c r="Q26" s="38"/>
      <c r="R26" s="38"/>
      <c r="S26" s="38"/>
    </row>
    <row r="27" spans="1:29" ht="15.6">
      <c r="A27" s="461"/>
      <c r="B27" s="81" t="s">
        <v>810</v>
      </c>
      <c r="C27" s="81"/>
      <c r="D27" s="81"/>
      <c r="E27" s="461"/>
      <c r="F27" s="461"/>
      <c r="G27" s="461"/>
      <c r="H27" s="461"/>
      <c r="I27" s="461"/>
      <c r="J27" s="461"/>
      <c r="K27" s="461"/>
      <c r="L27" s="461"/>
      <c r="M27" s="461"/>
      <c r="N27" s="461"/>
      <c r="O27" s="461"/>
      <c r="P27" s="461"/>
      <c r="Q27" s="461"/>
      <c r="R27" s="461"/>
      <c r="S27" s="461"/>
    </row>
    <row r="28" spans="1:29" ht="15.6">
      <c r="A28" s="461"/>
      <c r="B28" s="897"/>
      <c r="C28" s="897"/>
      <c r="D28" s="897"/>
      <c r="E28" s="897"/>
      <c r="F28" s="461"/>
      <c r="G28" s="461"/>
      <c r="H28" s="461"/>
      <c r="I28" s="461"/>
      <c r="J28" s="461"/>
      <c r="K28" s="461"/>
      <c r="L28" s="461"/>
      <c r="M28" s="461"/>
      <c r="N28" s="461"/>
      <c r="O28" s="461"/>
      <c r="P28" s="461"/>
      <c r="Q28" s="461"/>
      <c r="R28" s="461"/>
      <c r="S28" s="461"/>
    </row>
    <row r="29" spans="1:29">
      <c r="A29" s="38"/>
      <c r="B29" s="153"/>
      <c r="C29" s="62" t="s">
        <v>39</v>
      </c>
      <c r="D29" s="62" t="s">
        <v>40</v>
      </c>
      <c r="E29" s="62" t="s">
        <v>41</v>
      </c>
      <c r="F29" s="142"/>
      <c r="G29" s="38"/>
      <c r="H29" s="38"/>
      <c r="I29" s="38"/>
      <c r="J29" s="38"/>
      <c r="K29" s="38"/>
      <c r="L29" s="38"/>
      <c r="M29" s="38"/>
      <c r="N29" s="38"/>
      <c r="O29" s="38"/>
      <c r="P29" s="38"/>
      <c r="Q29" s="38"/>
      <c r="R29" s="38"/>
      <c r="S29" s="38"/>
    </row>
    <row r="30" spans="1:29">
      <c r="A30" s="38"/>
      <c r="B30" s="57" t="s">
        <v>811</v>
      </c>
      <c r="C30" s="50">
        <v>3572.76</v>
      </c>
      <c r="D30" s="68">
        <v>124787.591</v>
      </c>
      <c r="E30" s="50">
        <v>5406.49</v>
      </c>
      <c r="F30" s="206"/>
      <c r="G30" s="38"/>
      <c r="H30" s="38"/>
      <c r="I30" s="38"/>
      <c r="J30" s="38"/>
      <c r="K30" s="38"/>
      <c r="L30" s="38"/>
      <c r="M30" s="38"/>
      <c r="N30" s="38"/>
      <c r="O30" s="38"/>
      <c r="P30" s="38"/>
      <c r="Q30" s="38"/>
      <c r="R30" s="38"/>
      <c r="S30" s="38"/>
    </row>
    <row r="31" spans="1:29">
      <c r="A31" s="38"/>
      <c r="B31" s="57" t="s">
        <v>806</v>
      </c>
      <c r="C31" s="50">
        <v>3310.83</v>
      </c>
      <c r="D31" s="68">
        <v>124356.655</v>
      </c>
      <c r="E31" s="50">
        <v>4773.4799999999996</v>
      </c>
      <c r="F31" s="206"/>
      <c r="G31" s="38"/>
      <c r="H31" s="38"/>
      <c r="I31" s="38"/>
      <c r="J31" s="38"/>
      <c r="K31" s="38"/>
      <c r="L31" s="38"/>
      <c r="M31" s="38"/>
      <c r="N31" s="38"/>
      <c r="O31" s="38"/>
      <c r="P31" s="38"/>
      <c r="Q31" s="38"/>
      <c r="R31" s="38"/>
      <c r="S31" s="38"/>
    </row>
    <row r="32" spans="1:29">
      <c r="A32" s="38"/>
      <c r="B32" s="57" t="s">
        <v>807</v>
      </c>
      <c r="C32" s="50">
        <v>261.93</v>
      </c>
      <c r="D32" s="68">
        <v>430.93599999999998</v>
      </c>
      <c r="E32" s="50">
        <v>633.02</v>
      </c>
      <c r="F32" s="206"/>
      <c r="G32" s="38"/>
      <c r="H32" s="38"/>
      <c r="I32" s="38"/>
      <c r="J32" s="38"/>
      <c r="K32" s="38"/>
      <c r="L32" s="38"/>
      <c r="M32" s="38"/>
      <c r="N32" s="38"/>
      <c r="O32" s="38"/>
      <c r="P32" s="38"/>
      <c r="Q32" s="38"/>
      <c r="R32" s="38"/>
      <c r="S32" s="38"/>
    </row>
    <row r="33" spans="1:19">
      <c r="A33" s="38"/>
      <c r="B33" s="57" t="s">
        <v>802</v>
      </c>
      <c r="C33" s="98">
        <f>C31/C30</f>
        <v>0.92668693111208134</v>
      </c>
      <c r="D33" s="69">
        <f>D31/D30</f>
        <v>0.99654664380851776</v>
      </c>
      <c r="E33" s="98">
        <f>E31/E30</f>
        <v>0.88291664277562698</v>
      </c>
      <c r="F33" s="212"/>
      <c r="G33" s="38"/>
      <c r="H33" s="38"/>
      <c r="I33" s="38"/>
      <c r="J33" s="38"/>
      <c r="K33" s="38"/>
      <c r="L33" s="38"/>
      <c r="M33" s="38"/>
      <c r="N33" s="38"/>
      <c r="O33" s="38"/>
      <c r="P33" s="38"/>
      <c r="Q33" s="38"/>
      <c r="R33" s="38"/>
      <c r="S33" s="38"/>
    </row>
    <row r="34" spans="1:19">
      <c r="A34" s="38"/>
      <c r="B34" s="38"/>
      <c r="C34" s="38"/>
      <c r="D34" s="38"/>
      <c r="E34" s="38"/>
      <c r="F34" s="38"/>
      <c r="G34" s="38"/>
      <c r="H34" s="38"/>
      <c r="I34" s="38"/>
      <c r="J34" s="38"/>
      <c r="K34" s="38"/>
      <c r="L34" s="38"/>
      <c r="M34" s="38"/>
      <c r="N34" s="38"/>
      <c r="O34" s="38"/>
      <c r="P34" s="38"/>
      <c r="Q34" s="38"/>
      <c r="R34" s="38"/>
      <c r="S34" s="38"/>
    </row>
    <row r="35" spans="1:19">
      <c r="A35" s="38"/>
      <c r="B35" s="38"/>
      <c r="C35" s="38"/>
      <c r="D35" s="38"/>
      <c r="E35" s="38"/>
      <c r="F35" s="38"/>
      <c r="G35" s="38"/>
      <c r="H35" s="38"/>
      <c r="I35" s="38"/>
      <c r="J35" s="38"/>
      <c r="K35" s="38"/>
      <c r="L35" s="38"/>
      <c r="M35" s="38"/>
      <c r="N35" s="38"/>
      <c r="O35" s="38"/>
      <c r="P35" s="38"/>
      <c r="Q35" s="38"/>
      <c r="R35" s="38"/>
      <c r="S35" s="38"/>
    </row>
  </sheetData>
  <sheetProtection algorithmName="SHA-512" hashValue="FEkjdJ5LNnylC6eII8GDts3aGiCrvx/qEpcBiuGLdEMyznF32MfLusDoEeIMGR2RZbP/1F9seFDwZJdJf4NzaQ==" saltValue="KPA0C4NQabKaRU2ReHGs7A==" spinCount="100000" sheet="1" objects="1" scenarios="1"/>
  <mergeCells count="3">
    <mergeCell ref="B28:E28"/>
    <mergeCell ref="B14:O14"/>
    <mergeCell ref="B25:O25"/>
  </mergeCells>
  <hyperlinks>
    <hyperlink ref="A1" location="'Data Pack Overview'!A1" display="H" xr:uid="{FA248778-1004-49B0-8250-B9BEF889D4C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78868-EDC1-47F8-8CB2-88B0A523C981}">
  <sheetPr>
    <tabColor rgb="FF92D050"/>
  </sheetPr>
  <dimension ref="A1:M232"/>
  <sheetViews>
    <sheetView showGridLines="0" topLeftCell="A96" zoomScale="107" zoomScaleNormal="107" workbookViewId="0"/>
  </sheetViews>
  <sheetFormatPr defaultRowHeight="14.4"/>
  <cols>
    <col min="1" max="1" width="2.44140625" customWidth="1"/>
    <col min="2" max="2" width="48.44140625" customWidth="1"/>
    <col min="3" max="3" width="9.44140625" customWidth="1"/>
    <col min="4" max="4" width="9.5546875" style="496" customWidth="1"/>
    <col min="5" max="5" width="15" customWidth="1"/>
    <col min="6" max="6" width="12.44140625" customWidth="1"/>
    <col min="7" max="7" width="8.5546875" bestFit="1" customWidth="1"/>
    <col min="9" max="9" width="9.44140625" bestFit="1" customWidth="1"/>
    <col min="10" max="10" width="8.5546875" bestFit="1" customWidth="1"/>
    <col min="11" max="11" width="13.5546875" customWidth="1"/>
    <col min="13" max="13" width="8.5546875" bestFit="1" customWidth="1"/>
  </cols>
  <sheetData>
    <row r="1" spans="1:11">
      <c r="A1" s="18" t="s">
        <v>32</v>
      </c>
      <c r="B1" s="88"/>
      <c r="C1" s="237"/>
      <c r="D1" s="300"/>
      <c r="E1" s="88"/>
      <c r="F1" s="88"/>
      <c r="G1" s="88"/>
      <c r="H1" s="88"/>
      <c r="I1" s="88"/>
      <c r="J1" s="88"/>
      <c r="K1" s="88"/>
    </row>
    <row r="2" spans="1:11" ht="21">
      <c r="A2" s="88"/>
      <c r="B2" s="39" t="s">
        <v>812</v>
      </c>
      <c r="C2" s="237"/>
      <c r="D2" s="300"/>
      <c r="E2" s="88"/>
      <c r="F2" s="238"/>
      <c r="G2" s="88"/>
      <c r="H2" s="88"/>
      <c r="I2" s="88"/>
      <c r="J2" s="88"/>
      <c r="K2" s="88"/>
    </row>
    <row r="3" spans="1:11" ht="21">
      <c r="A3" s="88"/>
      <c r="B3" s="239"/>
      <c r="C3" s="237"/>
      <c r="D3" s="300"/>
      <c r="E3" s="88"/>
      <c r="F3" s="88"/>
      <c r="G3" s="88"/>
      <c r="H3" s="88"/>
      <c r="I3" s="88"/>
      <c r="J3" s="88"/>
      <c r="K3" s="88"/>
    </row>
    <row r="4" spans="1:11" ht="48" customHeight="1">
      <c r="A4" s="88"/>
      <c r="B4" s="881" t="s">
        <v>813</v>
      </c>
      <c r="C4" s="881"/>
      <c r="D4" s="881"/>
      <c r="E4" s="881"/>
      <c r="F4" s="881"/>
      <c r="G4" s="881"/>
      <c r="H4" s="881"/>
      <c r="I4" s="881"/>
      <c r="J4" s="881"/>
      <c r="K4" s="881"/>
    </row>
    <row r="5" spans="1:11" ht="21">
      <c r="A5" s="88"/>
      <c r="B5" s="239"/>
      <c r="C5" s="237"/>
      <c r="D5" s="300"/>
      <c r="E5" s="88"/>
      <c r="F5" s="88"/>
      <c r="G5" s="88"/>
      <c r="H5" s="88"/>
      <c r="I5" s="88"/>
      <c r="J5" s="88"/>
      <c r="K5" s="88"/>
    </row>
    <row r="6" spans="1:11">
      <c r="A6" s="88"/>
      <c r="B6" s="240" t="s">
        <v>814</v>
      </c>
      <c r="C6" s="241" t="s">
        <v>815</v>
      </c>
      <c r="D6" s="898" t="s">
        <v>816</v>
      </c>
      <c r="E6" s="898"/>
      <c r="F6" s="898"/>
      <c r="G6" s="898"/>
      <c r="H6" s="898"/>
      <c r="I6" s="898"/>
      <c r="J6" s="898"/>
      <c r="K6" s="898"/>
    </row>
    <row r="7" spans="1:11" ht="39.6" customHeight="1">
      <c r="A7" s="88"/>
      <c r="B7" s="109" t="s">
        <v>817</v>
      </c>
      <c r="C7" s="242" t="s">
        <v>818</v>
      </c>
      <c r="D7" s="824" t="s">
        <v>819</v>
      </c>
      <c r="E7" s="824"/>
      <c r="F7" s="824"/>
      <c r="G7" s="824"/>
      <c r="H7" s="824"/>
      <c r="I7" s="824"/>
      <c r="J7" s="824"/>
      <c r="K7" s="824"/>
    </row>
    <row r="8" spans="1:11" ht="43.5" customHeight="1">
      <c r="A8" s="88"/>
      <c r="B8" s="109" t="s">
        <v>820</v>
      </c>
      <c r="C8" s="243" t="s">
        <v>821</v>
      </c>
      <c r="D8" s="824" t="s">
        <v>822</v>
      </c>
      <c r="E8" s="824"/>
      <c r="F8" s="824"/>
      <c r="G8" s="824"/>
      <c r="H8" s="824"/>
      <c r="I8" s="824"/>
      <c r="J8" s="824"/>
      <c r="K8" s="824"/>
    </row>
    <row r="9" spans="1:11" ht="38.1" customHeight="1">
      <c r="A9" s="88"/>
      <c r="B9" s="109" t="s">
        <v>823</v>
      </c>
      <c r="C9" s="243" t="s">
        <v>824</v>
      </c>
      <c r="D9" s="824" t="s">
        <v>825</v>
      </c>
      <c r="E9" s="824"/>
      <c r="F9" s="824"/>
      <c r="G9" s="824"/>
      <c r="H9" s="824"/>
      <c r="I9" s="824"/>
      <c r="J9" s="824"/>
      <c r="K9" s="824"/>
    </row>
    <row r="10" spans="1:11" ht="36.6" customHeight="1">
      <c r="A10" s="88"/>
      <c r="B10" s="109" t="s">
        <v>826</v>
      </c>
      <c r="C10" s="243" t="s">
        <v>827</v>
      </c>
      <c r="D10" s="824" t="s">
        <v>828</v>
      </c>
      <c r="E10" s="824"/>
      <c r="F10" s="824"/>
      <c r="G10" s="824"/>
      <c r="H10" s="824"/>
      <c r="I10" s="824"/>
      <c r="J10" s="824"/>
      <c r="K10" s="824"/>
    </row>
    <row r="11" spans="1:11" ht="21">
      <c r="A11" s="88"/>
      <c r="B11" s="239"/>
      <c r="C11" s="237"/>
      <c r="D11" s="300"/>
      <c r="E11" s="88"/>
      <c r="F11" s="88"/>
      <c r="G11" s="88"/>
      <c r="H11" s="88"/>
      <c r="I11" s="88"/>
      <c r="J11" s="88"/>
      <c r="K11" s="88"/>
    </row>
    <row r="12" spans="1:11" ht="21">
      <c r="A12" s="88"/>
      <c r="B12" s="239"/>
      <c r="C12" s="237"/>
      <c r="D12" s="300"/>
      <c r="E12" s="88"/>
      <c r="F12" s="88"/>
      <c r="G12" s="88"/>
      <c r="H12" s="88"/>
      <c r="I12" s="88"/>
      <c r="J12" s="88"/>
      <c r="K12" s="88"/>
    </row>
    <row r="13" spans="1:11" ht="15.6">
      <c r="A13" s="88"/>
      <c r="B13" s="81" t="s">
        <v>829</v>
      </c>
      <c r="C13" s="237"/>
      <c r="D13" s="300"/>
      <c r="E13" s="88"/>
      <c r="F13" s="88"/>
      <c r="G13" s="88"/>
      <c r="H13" s="88"/>
      <c r="I13" s="88"/>
      <c r="J13" s="88"/>
      <c r="K13" s="88"/>
    </row>
    <row r="14" spans="1:11">
      <c r="A14" s="88"/>
      <c r="B14" s="88"/>
      <c r="C14" s="237"/>
      <c r="D14" s="300"/>
      <c r="H14" s="88"/>
      <c r="I14" s="88"/>
      <c r="J14" s="88"/>
      <c r="K14" s="88"/>
    </row>
    <row r="15" spans="1:11">
      <c r="A15" s="88"/>
      <c r="B15" s="88"/>
      <c r="C15" s="237"/>
      <c r="D15" s="300"/>
      <c r="H15" s="88"/>
      <c r="I15" s="88"/>
      <c r="J15" s="88"/>
      <c r="K15" s="88"/>
    </row>
    <row r="16" spans="1:11" ht="21.6">
      <c r="A16" s="88"/>
      <c r="B16" s="129" t="s">
        <v>830</v>
      </c>
      <c r="C16" s="62" t="s">
        <v>831</v>
      </c>
      <c r="D16" s="481" t="s">
        <v>832</v>
      </c>
      <c r="H16" s="221"/>
      <c r="I16" s="88"/>
      <c r="J16" s="88"/>
      <c r="K16" s="88"/>
    </row>
    <row r="17" spans="1:11">
      <c r="A17" s="88"/>
      <c r="B17" s="244" t="s">
        <v>833</v>
      </c>
      <c r="C17" s="245"/>
      <c r="D17" s="482"/>
      <c r="H17" s="104"/>
      <c r="I17" s="88"/>
    </row>
    <row r="18" spans="1:11">
      <c r="A18" s="88"/>
      <c r="B18" s="246" t="s">
        <v>834</v>
      </c>
      <c r="C18" s="118">
        <v>2022</v>
      </c>
      <c r="D18" s="574">
        <v>7.1</v>
      </c>
      <c r="H18" s="104"/>
      <c r="I18" s="88"/>
    </row>
    <row r="19" spans="1:11">
      <c r="A19" s="88"/>
      <c r="B19" s="156" t="s">
        <v>835</v>
      </c>
      <c r="C19" s="222">
        <v>2022</v>
      </c>
      <c r="D19" s="575">
        <v>5.17</v>
      </c>
      <c r="H19" s="104"/>
      <c r="I19" s="88"/>
    </row>
    <row r="20" spans="1:11">
      <c r="A20" s="88"/>
      <c r="B20" s="246" t="s">
        <v>836</v>
      </c>
      <c r="C20" s="118">
        <v>2022</v>
      </c>
      <c r="D20" s="574">
        <v>6.54</v>
      </c>
      <c r="H20" s="104"/>
      <c r="I20" s="88"/>
    </row>
    <row r="21" spans="1:11">
      <c r="A21" s="88"/>
      <c r="B21" s="156" t="s">
        <v>837</v>
      </c>
      <c r="C21" s="222">
        <v>2011</v>
      </c>
      <c r="D21" s="575">
        <v>8.24</v>
      </c>
      <c r="H21" s="88"/>
      <c r="I21" s="88"/>
    </row>
    <row r="22" spans="1:11">
      <c r="A22" s="88"/>
      <c r="B22" s="156" t="s">
        <v>838</v>
      </c>
      <c r="C22" s="222">
        <v>2023</v>
      </c>
      <c r="D22" s="575">
        <v>6.84</v>
      </c>
      <c r="H22" s="104"/>
      <c r="I22" s="88"/>
    </row>
    <row r="23" spans="1:11">
      <c r="A23" s="88"/>
      <c r="B23" s="156" t="s">
        <v>839</v>
      </c>
      <c r="C23" s="222">
        <v>2022</v>
      </c>
      <c r="D23" s="575">
        <v>5.75</v>
      </c>
      <c r="H23" s="104"/>
      <c r="I23" s="88"/>
    </row>
    <row r="24" spans="1:11">
      <c r="A24" s="88"/>
      <c r="B24" s="246" t="s">
        <v>840</v>
      </c>
      <c r="C24" s="118">
        <v>2022</v>
      </c>
      <c r="D24" s="574">
        <v>7.34</v>
      </c>
      <c r="H24" s="104"/>
      <c r="I24" s="88"/>
    </row>
    <row r="25" spans="1:11">
      <c r="A25" s="88"/>
      <c r="B25" s="156" t="s">
        <v>841</v>
      </c>
      <c r="C25" s="222">
        <v>2023</v>
      </c>
      <c r="D25" s="575">
        <v>5.63</v>
      </c>
      <c r="H25" s="104"/>
      <c r="I25" s="88"/>
    </row>
    <row r="26" spans="1:11">
      <c r="A26" s="88"/>
      <c r="B26" s="156" t="s">
        <v>842</v>
      </c>
      <c r="C26" s="222">
        <v>2018</v>
      </c>
      <c r="D26" s="575">
        <v>7.91</v>
      </c>
      <c r="H26" s="104"/>
      <c r="I26" s="88"/>
    </row>
    <row r="27" spans="1:11">
      <c r="A27" s="88"/>
      <c r="B27" s="156" t="s">
        <v>843</v>
      </c>
      <c r="C27" s="222">
        <v>2023</v>
      </c>
      <c r="D27" s="575">
        <v>7</v>
      </c>
      <c r="H27" s="104"/>
      <c r="I27" s="88"/>
      <c r="J27" s="88"/>
      <c r="K27" s="88"/>
    </row>
    <row r="28" spans="1:11">
      <c r="A28" s="88"/>
      <c r="B28" s="247" t="s">
        <v>844</v>
      </c>
      <c r="C28" s="248"/>
      <c r="D28" s="483">
        <v>10</v>
      </c>
      <c r="H28" s="88"/>
      <c r="I28" s="88"/>
      <c r="J28" s="88"/>
      <c r="K28" s="88"/>
    </row>
    <row r="29" spans="1:11">
      <c r="A29" s="88"/>
      <c r="B29" s="247" t="s">
        <v>845</v>
      </c>
      <c r="C29" s="249"/>
      <c r="D29" s="484">
        <v>1</v>
      </c>
      <c r="H29" s="104"/>
      <c r="I29" s="88"/>
      <c r="J29" s="88"/>
      <c r="K29" s="88"/>
    </row>
    <row r="30" spans="1:11">
      <c r="A30" s="88"/>
      <c r="B30" s="244" t="s">
        <v>846</v>
      </c>
      <c r="C30" s="245"/>
      <c r="D30" s="482"/>
      <c r="H30" s="104"/>
      <c r="I30" s="88"/>
      <c r="J30" s="88"/>
      <c r="K30" s="88"/>
    </row>
    <row r="31" spans="1:11">
      <c r="A31" s="88"/>
      <c r="B31" s="156" t="s">
        <v>847</v>
      </c>
      <c r="C31" s="118">
        <v>2023</v>
      </c>
      <c r="D31" s="557">
        <v>5.09</v>
      </c>
      <c r="I31" s="88"/>
      <c r="J31" s="88"/>
      <c r="K31" s="88"/>
    </row>
    <row r="32" spans="1:11">
      <c r="A32" s="88"/>
      <c r="B32" s="156" t="s">
        <v>848</v>
      </c>
      <c r="C32" s="222">
        <v>2023</v>
      </c>
      <c r="D32" s="575">
        <v>5.3</v>
      </c>
      <c r="I32" s="88"/>
      <c r="K32" s="88"/>
    </row>
    <row r="33" spans="1:11">
      <c r="A33" s="88"/>
      <c r="B33" s="156" t="s">
        <v>849</v>
      </c>
      <c r="C33" s="118">
        <v>2022</v>
      </c>
      <c r="D33" s="557">
        <v>6.98</v>
      </c>
      <c r="I33" s="88"/>
      <c r="J33" s="88"/>
      <c r="K33" s="88"/>
    </row>
    <row r="34" spans="1:11">
      <c r="A34" s="88"/>
      <c r="B34" s="156" t="s">
        <v>850</v>
      </c>
      <c r="C34" s="118">
        <v>2023</v>
      </c>
      <c r="D34" s="574">
        <v>5.21</v>
      </c>
      <c r="I34" s="88"/>
      <c r="J34" s="88"/>
      <c r="K34" s="88"/>
    </row>
    <row r="35" spans="1:11">
      <c r="A35" s="88"/>
      <c r="B35" s="156" t="s">
        <v>851</v>
      </c>
      <c r="C35" s="118">
        <v>2023</v>
      </c>
      <c r="D35" s="557">
        <v>4.93</v>
      </c>
      <c r="I35" s="88"/>
      <c r="J35" s="88"/>
      <c r="K35" s="88"/>
    </row>
    <row r="36" spans="1:11">
      <c r="A36" s="88"/>
      <c r="B36" s="156" t="s">
        <v>852</v>
      </c>
      <c r="C36" s="118">
        <v>2023</v>
      </c>
      <c r="D36" s="557">
        <v>4.9400000000000004</v>
      </c>
      <c r="I36" s="88"/>
      <c r="J36" s="88"/>
      <c r="K36" s="88"/>
    </row>
    <row r="37" spans="1:11">
      <c r="A37" s="88"/>
      <c r="B37" s="156" t="s">
        <v>853</v>
      </c>
      <c r="C37" s="118">
        <v>2023</v>
      </c>
      <c r="D37" s="574">
        <v>6.39</v>
      </c>
      <c r="I37" s="88"/>
      <c r="J37" s="88"/>
      <c r="K37" s="88"/>
    </row>
    <row r="38" spans="1:11">
      <c r="A38" s="88"/>
      <c r="B38" s="156" t="s">
        <v>854</v>
      </c>
      <c r="C38" s="118">
        <v>2023</v>
      </c>
      <c r="D38" s="574">
        <v>7.64</v>
      </c>
      <c r="I38" s="88"/>
      <c r="J38" s="88"/>
      <c r="K38" s="88"/>
    </row>
    <row r="39" spans="1:11">
      <c r="A39" s="88"/>
      <c r="B39" s="156" t="s">
        <v>855</v>
      </c>
      <c r="C39" s="118">
        <v>2023</v>
      </c>
      <c r="D39" s="557">
        <v>4.6900000000000004</v>
      </c>
      <c r="I39" s="88"/>
      <c r="J39" s="88"/>
      <c r="K39" s="88"/>
    </row>
    <row r="40" spans="1:11">
      <c r="A40" s="88"/>
      <c r="B40" s="156" t="s">
        <v>856</v>
      </c>
      <c r="C40" s="118">
        <v>2021</v>
      </c>
      <c r="D40" s="574">
        <v>7.37</v>
      </c>
      <c r="I40" s="88"/>
      <c r="J40" s="88"/>
      <c r="K40" s="88"/>
    </row>
    <row r="41" spans="1:11">
      <c r="A41" s="88"/>
      <c r="B41" s="156" t="s">
        <v>857</v>
      </c>
      <c r="C41" s="118">
        <v>2023</v>
      </c>
      <c r="D41" s="557">
        <v>4.8</v>
      </c>
      <c r="I41" s="88"/>
      <c r="J41" s="88"/>
      <c r="K41" s="88"/>
    </row>
    <row r="42" spans="1:11">
      <c r="A42" s="88"/>
      <c r="B42" s="156" t="s">
        <v>858</v>
      </c>
      <c r="C42" s="118">
        <v>2023</v>
      </c>
      <c r="D42" s="557">
        <v>5.14</v>
      </c>
      <c r="I42" s="88"/>
      <c r="J42" s="88"/>
      <c r="K42" s="88"/>
    </row>
    <row r="43" spans="1:11">
      <c r="A43" s="88"/>
      <c r="B43" s="156" t="s">
        <v>859</v>
      </c>
      <c r="C43" s="157">
        <v>2023</v>
      </c>
      <c r="D43" s="576">
        <v>6.14</v>
      </c>
      <c r="I43" s="88"/>
      <c r="J43" s="88"/>
      <c r="K43" s="88"/>
    </row>
    <row r="44" spans="1:11">
      <c r="A44" s="88"/>
      <c r="B44" s="156" t="s">
        <v>860</v>
      </c>
      <c r="C44" s="118">
        <v>2021</v>
      </c>
      <c r="D44" s="557">
        <v>6.73</v>
      </c>
      <c r="I44" s="88"/>
      <c r="J44" s="88"/>
      <c r="K44" s="88"/>
    </row>
    <row r="45" spans="1:11">
      <c r="A45" s="88"/>
      <c r="B45" s="156" t="s">
        <v>861</v>
      </c>
      <c r="C45" s="118">
        <v>2012</v>
      </c>
      <c r="D45" s="557">
        <v>5.37</v>
      </c>
      <c r="I45" s="88"/>
      <c r="J45" s="88"/>
      <c r="K45" s="88"/>
    </row>
    <row r="46" spans="1:11">
      <c r="A46" s="88"/>
      <c r="B46" s="156" t="s">
        <v>862</v>
      </c>
      <c r="C46" s="118">
        <v>2022</v>
      </c>
      <c r="D46" s="557">
        <v>7.73</v>
      </c>
      <c r="I46" s="88"/>
      <c r="J46" s="88"/>
      <c r="K46" s="88"/>
    </row>
    <row r="47" spans="1:11">
      <c r="A47" s="88"/>
      <c r="B47" s="156" t="s">
        <v>863</v>
      </c>
      <c r="C47" s="118">
        <v>2023</v>
      </c>
      <c r="D47" s="557">
        <v>5.1100000000000003</v>
      </c>
      <c r="I47" s="88"/>
      <c r="J47" s="88"/>
      <c r="K47" s="88"/>
    </row>
    <row r="48" spans="1:11">
      <c r="A48" s="88"/>
      <c r="B48" s="156" t="s">
        <v>864</v>
      </c>
      <c r="C48" s="577">
        <v>2023</v>
      </c>
      <c r="D48" s="557">
        <v>5.44</v>
      </c>
      <c r="I48" s="88"/>
      <c r="J48" s="88"/>
      <c r="K48" s="88"/>
    </row>
    <row r="49" spans="1:11">
      <c r="A49" s="88"/>
      <c r="B49" s="156" t="s">
        <v>865</v>
      </c>
      <c r="C49" s="222">
        <v>2023</v>
      </c>
      <c r="D49" s="578">
        <v>6.2</v>
      </c>
      <c r="I49" s="88"/>
      <c r="J49" s="88"/>
      <c r="K49" s="88"/>
    </row>
    <row r="50" spans="1:11">
      <c r="A50" s="88"/>
      <c r="B50" s="156" t="s">
        <v>866</v>
      </c>
      <c r="C50" s="118">
        <v>2023</v>
      </c>
      <c r="D50" s="557">
        <v>4.72</v>
      </c>
      <c r="I50" s="88"/>
      <c r="J50" s="88"/>
      <c r="K50" s="88"/>
    </row>
    <row r="51" spans="1:11">
      <c r="A51" s="88"/>
      <c r="B51" s="156" t="s">
        <v>867</v>
      </c>
      <c r="C51" s="222">
        <v>2023</v>
      </c>
      <c r="D51" s="578">
        <v>5.57</v>
      </c>
      <c r="I51" s="88"/>
      <c r="K51" s="88"/>
    </row>
    <row r="52" spans="1:11">
      <c r="A52" s="88"/>
      <c r="B52" s="156" t="s">
        <v>868</v>
      </c>
      <c r="C52" s="222">
        <v>2023</v>
      </c>
      <c r="D52" s="575">
        <v>4.5599999999999996</v>
      </c>
      <c r="I52" s="88"/>
      <c r="J52" s="88"/>
      <c r="K52" s="88"/>
    </row>
    <row r="53" spans="1:11">
      <c r="A53" s="88"/>
      <c r="B53" s="156" t="s">
        <v>869</v>
      </c>
      <c r="C53" s="118">
        <v>2021</v>
      </c>
      <c r="D53" s="557">
        <v>6.31</v>
      </c>
      <c r="I53" s="88"/>
      <c r="J53" s="88"/>
      <c r="K53" s="88"/>
    </row>
    <row r="54" spans="1:11">
      <c r="A54" s="88"/>
      <c r="B54" s="156" t="s">
        <v>870</v>
      </c>
      <c r="C54" s="222">
        <v>2021</v>
      </c>
      <c r="D54" s="575">
        <v>6.37</v>
      </c>
      <c r="I54" s="88"/>
      <c r="J54" s="88"/>
      <c r="K54" s="88"/>
    </row>
    <row r="55" spans="1:11">
      <c r="A55" s="88"/>
      <c r="B55" s="156" t="s">
        <v>871</v>
      </c>
      <c r="C55" s="118">
        <v>2022</v>
      </c>
      <c r="D55" s="557">
        <v>6.64</v>
      </c>
      <c r="I55" s="88"/>
      <c r="J55" s="88"/>
      <c r="K55" s="88"/>
    </row>
    <row r="56" spans="1:11">
      <c r="A56" s="88"/>
      <c r="B56" s="156" t="s">
        <v>872</v>
      </c>
      <c r="C56" s="118">
        <v>2023</v>
      </c>
      <c r="D56" s="557">
        <v>4.9400000000000004</v>
      </c>
      <c r="I56" s="88"/>
      <c r="J56" s="88"/>
      <c r="K56" s="88"/>
    </row>
    <row r="57" spans="1:11">
      <c r="A57" s="88"/>
      <c r="B57" s="156" t="s">
        <v>873</v>
      </c>
      <c r="C57" s="118">
        <v>2023</v>
      </c>
      <c r="D57" s="557">
        <v>5.66</v>
      </c>
      <c r="I57" s="88"/>
      <c r="J57" s="88"/>
      <c r="K57" s="88"/>
    </row>
    <row r="58" spans="1:11">
      <c r="A58" s="88"/>
      <c r="B58" s="156" t="s">
        <v>874</v>
      </c>
      <c r="C58" s="118">
        <v>2023</v>
      </c>
      <c r="D58" s="557">
        <v>5.59</v>
      </c>
      <c r="I58" s="88"/>
      <c r="J58" s="88"/>
      <c r="K58" s="88"/>
    </row>
    <row r="59" spans="1:11">
      <c r="A59" s="88"/>
      <c r="B59" s="156" t="s">
        <v>875</v>
      </c>
      <c r="C59" s="118">
        <v>2018</v>
      </c>
      <c r="D59" s="557">
        <v>6.95</v>
      </c>
      <c r="I59" s="88"/>
      <c r="J59" s="88"/>
      <c r="K59" s="88"/>
    </row>
    <row r="60" spans="1:11">
      <c r="A60" s="88"/>
      <c r="B60" s="247" t="s">
        <v>876</v>
      </c>
      <c r="C60" s="248"/>
      <c r="D60" s="483">
        <v>29</v>
      </c>
      <c r="H60" s="88"/>
      <c r="I60" s="88"/>
      <c r="K60" s="88"/>
    </row>
    <row r="61" spans="1:11">
      <c r="A61" s="88"/>
      <c r="B61" s="247" t="s">
        <v>877</v>
      </c>
      <c r="C61" s="249"/>
      <c r="D61" s="484">
        <v>1</v>
      </c>
      <c r="H61" s="88"/>
      <c r="I61" s="88"/>
      <c r="J61" s="88"/>
      <c r="K61" s="88"/>
    </row>
    <row r="62" spans="1:11">
      <c r="A62" s="88"/>
      <c r="B62" s="244" t="s">
        <v>878</v>
      </c>
      <c r="C62" s="245"/>
      <c r="D62" s="482"/>
      <c r="H62" s="88"/>
      <c r="I62" s="88"/>
      <c r="J62" s="88"/>
      <c r="K62" s="88"/>
    </row>
    <row r="63" spans="1:11">
      <c r="A63" s="88"/>
      <c r="B63" s="156" t="s">
        <v>879</v>
      </c>
      <c r="C63" s="222">
        <v>2022</v>
      </c>
      <c r="D63" s="575">
        <v>5.52</v>
      </c>
      <c r="I63" s="88"/>
      <c r="J63" s="88"/>
      <c r="K63" s="88"/>
    </row>
    <row r="64" spans="1:11">
      <c r="A64" s="88"/>
      <c r="B64" s="156" t="s">
        <v>880</v>
      </c>
      <c r="C64" s="222">
        <v>2022</v>
      </c>
      <c r="D64" s="575">
        <v>5.53</v>
      </c>
      <c r="I64" s="88"/>
      <c r="J64" s="88"/>
      <c r="K64" s="88"/>
    </row>
    <row r="65" spans="1:11">
      <c r="A65" s="88"/>
      <c r="B65" s="156" t="s">
        <v>881</v>
      </c>
      <c r="C65" s="222">
        <v>2022</v>
      </c>
      <c r="D65" s="575">
        <v>5.84</v>
      </c>
      <c r="I65" s="88"/>
      <c r="J65" s="88"/>
      <c r="K65" s="88"/>
    </row>
    <row r="66" spans="1:11">
      <c r="A66" s="88"/>
      <c r="B66" s="156" t="s">
        <v>882</v>
      </c>
      <c r="C66" s="222">
        <v>2021</v>
      </c>
      <c r="D66" s="575">
        <v>8.52</v>
      </c>
      <c r="I66" s="88"/>
      <c r="J66" s="88"/>
      <c r="K66" s="88"/>
    </row>
    <row r="67" spans="1:11">
      <c r="A67" s="88"/>
      <c r="B67" s="156" t="s">
        <v>883</v>
      </c>
      <c r="C67" s="222">
        <v>2019</v>
      </c>
      <c r="D67" s="575">
        <v>8.1300000000000008</v>
      </c>
      <c r="I67" s="88"/>
      <c r="J67" s="88"/>
      <c r="K67" s="88"/>
    </row>
    <row r="68" spans="1:11">
      <c r="A68" s="88"/>
      <c r="B68" s="156" t="s">
        <v>884</v>
      </c>
      <c r="C68" s="222">
        <v>2022</v>
      </c>
      <c r="D68" s="575">
        <v>6.54</v>
      </c>
      <c r="I68" s="88"/>
      <c r="J68" s="88"/>
      <c r="K68" s="88"/>
    </row>
    <row r="69" spans="1:11">
      <c r="A69" s="88"/>
      <c r="B69" s="251" t="s">
        <v>885</v>
      </c>
      <c r="C69" s="132">
        <v>2022</v>
      </c>
      <c r="D69" s="492">
        <v>7.53</v>
      </c>
      <c r="I69" s="88"/>
      <c r="J69" s="88"/>
      <c r="K69" s="88"/>
    </row>
    <row r="70" spans="1:11">
      <c r="A70" s="88"/>
      <c r="B70" s="156" t="s">
        <v>886</v>
      </c>
      <c r="C70" s="222">
        <v>2012</v>
      </c>
      <c r="D70" s="575">
        <v>7.81</v>
      </c>
      <c r="I70" s="88"/>
      <c r="J70" s="88"/>
      <c r="K70" s="88"/>
    </row>
    <row r="71" spans="1:11">
      <c r="A71" s="88"/>
      <c r="B71" s="156" t="s">
        <v>887</v>
      </c>
      <c r="C71" s="222">
        <v>2023</v>
      </c>
      <c r="D71" s="575">
        <v>5.98</v>
      </c>
      <c r="I71" s="88"/>
      <c r="J71" s="88"/>
      <c r="K71" s="88"/>
    </row>
    <row r="72" spans="1:11">
      <c r="A72" s="88"/>
      <c r="B72" s="156" t="s">
        <v>888</v>
      </c>
      <c r="C72" s="222">
        <v>2022</v>
      </c>
      <c r="D72" s="575">
        <v>7.15</v>
      </c>
      <c r="I72" s="88"/>
      <c r="J72" s="88"/>
      <c r="K72" s="88"/>
    </row>
    <row r="73" spans="1:11">
      <c r="A73" s="88"/>
      <c r="B73" s="156" t="s">
        <v>889</v>
      </c>
      <c r="C73" s="222">
        <v>2023</v>
      </c>
      <c r="D73" s="575">
        <v>5.74</v>
      </c>
      <c r="I73" s="88"/>
      <c r="J73" s="88"/>
      <c r="K73" s="88"/>
    </row>
    <row r="74" spans="1:11">
      <c r="A74" s="88"/>
      <c r="B74" s="156" t="s">
        <v>890</v>
      </c>
      <c r="C74" s="222">
        <v>2016</v>
      </c>
      <c r="D74" s="575">
        <v>6.32</v>
      </c>
      <c r="I74" s="88"/>
      <c r="J74" s="88"/>
      <c r="K74" s="88"/>
    </row>
    <row r="75" spans="1:11">
      <c r="A75" s="88"/>
      <c r="B75" s="156" t="s">
        <v>891</v>
      </c>
      <c r="C75" s="222">
        <v>2023</v>
      </c>
      <c r="D75" s="575">
        <v>5.63</v>
      </c>
      <c r="I75" s="88"/>
      <c r="J75" s="88"/>
      <c r="K75" s="88"/>
    </row>
    <row r="76" spans="1:11">
      <c r="A76" s="88"/>
      <c r="B76" s="156" t="s">
        <v>892</v>
      </c>
      <c r="C76" s="222">
        <v>2022</v>
      </c>
      <c r="D76" s="575">
        <v>6.58</v>
      </c>
      <c r="I76" s="88"/>
      <c r="J76" s="88"/>
      <c r="K76" s="88"/>
    </row>
    <row r="77" spans="1:11">
      <c r="A77" s="88"/>
      <c r="B77" s="137" t="s">
        <v>893</v>
      </c>
      <c r="C77" s="222">
        <v>2013</v>
      </c>
      <c r="D77" s="575">
        <v>9.16</v>
      </c>
      <c r="I77" s="88"/>
      <c r="J77" s="88"/>
      <c r="K77" s="88"/>
    </row>
    <row r="78" spans="1:11">
      <c r="A78" s="88"/>
      <c r="B78" s="156" t="s">
        <v>894</v>
      </c>
      <c r="C78" s="222">
        <v>2019</v>
      </c>
      <c r="D78" s="575">
        <v>7.24</v>
      </c>
      <c r="I78" s="88"/>
      <c r="J78" s="88"/>
      <c r="K78" s="88"/>
    </row>
    <row r="79" spans="1:11">
      <c r="A79" s="88"/>
      <c r="B79" s="156" t="s">
        <v>895</v>
      </c>
      <c r="C79" s="222">
        <v>2019</v>
      </c>
      <c r="D79" s="575">
        <v>7.51</v>
      </c>
      <c r="I79" s="88"/>
      <c r="J79" s="88"/>
      <c r="K79" s="88"/>
    </row>
    <row r="80" spans="1:11">
      <c r="A80" s="88"/>
      <c r="B80" s="156" t="s">
        <v>896</v>
      </c>
      <c r="C80" s="222">
        <v>2018</v>
      </c>
      <c r="D80" s="575">
        <v>8.52</v>
      </c>
      <c r="I80" s="88"/>
      <c r="J80" s="88"/>
      <c r="K80" s="88"/>
    </row>
    <row r="81" spans="1:11">
      <c r="A81" s="88"/>
      <c r="B81" s="156" t="s">
        <v>897</v>
      </c>
      <c r="C81" s="222">
        <v>2022</v>
      </c>
      <c r="D81" s="575">
        <v>7.69</v>
      </c>
      <c r="I81" s="88"/>
      <c r="J81" s="88"/>
      <c r="K81" s="88"/>
    </row>
    <row r="82" spans="1:11">
      <c r="A82" s="88"/>
      <c r="B82" s="250" t="s">
        <v>898</v>
      </c>
      <c r="C82" s="222">
        <v>2012</v>
      </c>
      <c r="D82" s="575">
        <v>8.2200000000000006</v>
      </c>
      <c r="I82" s="88"/>
      <c r="J82" s="88"/>
      <c r="K82" s="88"/>
    </row>
    <row r="83" spans="1:11">
      <c r="A83" s="88"/>
      <c r="B83" s="247" t="s">
        <v>899</v>
      </c>
      <c r="C83" s="248"/>
      <c r="D83" s="483">
        <v>20</v>
      </c>
      <c r="I83" s="88"/>
      <c r="J83" s="88"/>
      <c r="K83" s="88"/>
    </row>
    <row r="84" spans="1:11">
      <c r="A84" s="88"/>
      <c r="B84" s="247" t="s">
        <v>900</v>
      </c>
      <c r="C84" s="249"/>
      <c r="D84" s="484">
        <v>1</v>
      </c>
      <c r="H84" s="88"/>
      <c r="I84" s="88"/>
      <c r="J84" s="88"/>
      <c r="K84" s="88"/>
    </row>
    <row r="85" spans="1:11">
      <c r="A85" s="88"/>
      <c r="B85" s="252"/>
      <c r="C85" s="253"/>
      <c r="D85" s="485"/>
      <c r="H85" s="88"/>
      <c r="I85" s="88"/>
      <c r="K85" s="88"/>
    </row>
    <row r="86" spans="1:11">
      <c r="A86" s="88"/>
      <c r="B86" s="247" t="s">
        <v>901</v>
      </c>
      <c r="C86" s="254"/>
      <c r="D86" s="486">
        <v>1</v>
      </c>
      <c r="H86" s="88"/>
      <c r="I86" s="88"/>
      <c r="J86" s="88"/>
      <c r="K86" s="88"/>
    </row>
    <row r="87" spans="1:11">
      <c r="A87" s="88"/>
      <c r="B87" s="218"/>
      <c r="C87" s="255"/>
      <c r="D87" s="487"/>
      <c r="E87" s="88"/>
      <c r="F87" s="255"/>
    </row>
    <row r="88" spans="1:11">
      <c r="A88" s="88"/>
      <c r="B88" s="88" t="s">
        <v>902</v>
      </c>
      <c r="C88" s="255"/>
      <c r="D88" s="487"/>
      <c r="E88" s="88"/>
      <c r="F88" s="255"/>
    </row>
    <row r="89" spans="1:11">
      <c r="A89" s="88"/>
      <c r="B89" s="218"/>
      <c r="C89" s="255"/>
      <c r="D89" s="487"/>
      <c r="E89" s="88"/>
      <c r="F89" s="255"/>
    </row>
    <row r="90" spans="1:11" ht="15.6">
      <c r="A90" s="88"/>
      <c r="B90" s="81" t="s">
        <v>903</v>
      </c>
      <c r="C90" s="255"/>
      <c r="D90" s="487"/>
      <c r="E90" s="88"/>
      <c r="F90" s="88"/>
    </row>
    <row r="91" spans="1:11">
      <c r="A91" s="88"/>
      <c r="B91" s="218"/>
      <c r="C91" s="255"/>
      <c r="D91" s="487"/>
      <c r="E91" s="88"/>
      <c r="F91" s="88"/>
    </row>
    <row r="92" spans="1:11" ht="21.6">
      <c r="A92" s="88"/>
      <c r="B92" s="129" t="s">
        <v>830</v>
      </c>
      <c r="C92" s="62" t="s">
        <v>831</v>
      </c>
      <c r="D92" s="481" t="s">
        <v>832</v>
      </c>
    </row>
    <row r="93" spans="1:11">
      <c r="A93" s="88"/>
      <c r="B93" s="244" t="s">
        <v>904</v>
      </c>
      <c r="C93" s="245"/>
      <c r="D93" s="482"/>
    </row>
    <row r="94" spans="1:11">
      <c r="A94" s="88"/>
      <c r="B94" s="292" t="s">
        <v>905</v>
      </c>
      <c r="C94" s="256">
        <v>2023</v>
      </c>
      <c r="D94" s="579">
        <v>4.22</v>
      </c>
    </row>
    <row r="95" spans="1:11">
      <c r="A95" s="88"/>
      <c r="B95" s="292" t="s">
        <v>906</v>
      </c>
      <c r="C95" s="580">
        <v>2016</v>
      </c>
      <c r="D95" s="581">
        <v>11.13</v>
      </c>
    </row>
    <row r="96" spans="1:11">
      <c r="A96" s="88"/>
      <c r="B96" s="292" t="s">
        <v>907</v>
      </c>
      <c r="C96" s="256">
        <v>2023</v>
      </c>
      <c r="D96" s="579">
        <v>5.09</v>
      </c>
    </row>
    <row r="97" spans="1:4">
      <c r="A97" s="88"/>
      <c r="B97" s="292" t="s">
        <v>908</v>
      </c>
      <c r="C97" s="580">
        <v>2016</v>
      </c>
      <c r="D97" s="581">
        <v>8.5500000000000007</v>
      </c>
    </row>
    <row r="98" spans="1:4">
      <c r="A98" s="88"/>
      <c r="B98" s="251" t="s">
        <v>909</v>
      </c>
      <c r="C98" s="582">
        <v>2023</v>
      </c>
      <c r="D98" s="583">
        <v>4.96</v>
      </c>
    </row>
    <row r="99" spans="1:4">
      <c r="A99" s="88"/>
      <c r="B99" s="292" t="s">
        <v>910</v>
      </c>
      <c r="C99" s="256">
        <v>2023</v>
      </c>
      <c r="D99" s="579">
        <v>7.54</v>
      </c>
    </row>
    <row r="100" spans="1:4">
      <c r="A100" s="88"/>
      <c r="B100" s="292" t="s">
        <v>911</v>
      </c>
      <c r="C100" s="256">
        <v>2017</v>
      </c>
      <c r="D100" s="579">
        <v>8.2799999999999994</v>
      </c>
    </row>
    <row r="101" spans="1:4">
      <c r="A101" s="88"/>
      <c r="B101" s="292" t="s">
        <v>912</v>
      </c>
      <c r="C101" s="256">
        <v>2018</v>
      </c>
      <c r="D101" s="579">
        <v>5.45</v>
      </c>
    </row>
    <row r="102" spans="1:4">
      <c r="A102" s="88"/>
      <c r="B102" s="292" t="s">
        <v>913</v>
      </c>
      <c r="C102" s="580">
        <v>2016</v>
      </c>
      <c r="D102" s="581">
        <v>9.9</v>
      </c>
    </row>
    <row r="103" spans="1:4">
      <c r="A103" s="88"/>
      <c r="B103" s="292" t="s">
        <v>914</v>
      </c>
      <c r="C103" s="256">
        <v>2019</v>
      </c>
      <c r="D103" s="579">
        <v>5.56</v>
      </c>
    </row>
    <row r="104" spans="1:4">
      <c r="A104" s="88"/>
      <c r="B104" s="251" t="s">
        <v>915</v>
      </c>
      <c r="C104" s="132">
        <v>2022</v>
      </c>
      <c r="D104" s="584">
        <v>7.8</v>
      </c>
    </row>
    <row r="105" spans="1:4">
      <c r="A105" s="88"/>
      <c r="B105" s="475" t="s">
        <v>916</v>
      </c>
      <c r="C105" s="158">
        <v>2023</v>
      </c>
      <c r="D105" s="552" t="s">
        <v>917</v>
      </c>
    </row>
    <row r="106" spans="1:4">
      <c r="A106" s="88"/>
      <c r="B106" s="475" t="s">
        <v>918</v>
      </c>
      <c r="C106" s="158">
        <v>2021</v>
      </c>
      <c r="D106" s="552">
        <v>7.13</v>
      </c>
    </row>
    <row r="107" spans="1:4">
      <c r="A107" s="88"/>
      <c r="B107" s="251" t="s">
        <v>919</v>
      </c>
      <c r="C107" s="158">
        <v>2017</v>
      </c>
      <c r="D107" s="576">
        <v>10.93</v>
      </c>
    </row>
    <row r="108" spans="1:4">
      <c r="A108" s="88"/>
      <c r="B108" s="251" t="s">
        <v>920</v>
      </c>
      <c r="C108" s="256">
        <v>2019</v>
      </c>
      <c r="D108" s="579">
        <v>6.83</v>
      </c>
    </row>
    <row r="109" spans="1:4">
      <c r="A109" s="88"/>
      <c r="B109" s="251" t="s">
        <v>921</v>
      </c>
      <c r="C109" s="132">
        <v>2022</v>
      </c>
      <c r="D109" s="584">
        <v>7.24</v>
      </c>
    </row>
    <row r="110" spans="1:4">
      <c r="A110" s="88"/>
      <c r="B110" s="292" t="s">
        <v>922</v>
      </c>
      <c r="C110" s="256">
        <v>2018</v>
      </c>
      <c r="D110" s="579">
        <v>9.14</v>
      </c>
    </row>
    <row r="111" spans="1:4">
      <c r="A111" s="88"/>
      <c r="B111" s="292" t="s">
        <v>923</v>
      </c>
      <c r="C111" s="256">
        <v>2018</v>
      </c>
      <c r="D111" s="579">
        <v>9.77</v>
      </c>
    </row>
    <row r="112" spans="1:4">
      <c r="A112" s="88"/>
      <c r="B112" s="585" t="s">
        <v>924</v>
      </c>
      <c r="C112" s="500">
        <v>2022</v>
      </c>
      <c r="D112" s="586">
        <v>7.23</v>
      </c>
    </row>
    <row r="113" spans="1:4">
      <c r="A113" s="88"/>
      <c r="B113" s="251" t="s">
        <v>925</v>
      </c>
      <c r="C113" s="158">
        <v>2021</v>
      </c>
      <c r="D113" s="552">
        <v>6.21</v>
      </c>
    </row>
    <row r="114" spans="1:4">
      <c r="A114" s="88"/>
      <c r="B114" s="251" t="s">
        <v>926</v>
      </c>
      <c r="C114" s="157">
        <v>2018</v>
      </c>
      <c r="D114" s="576">
        <v>6.74</v>
      </c>
    </row>
    <row r="115" spans="1:4">
      <c r="A115" s="88"/>
      <c r="B115" s="475" t="s">
        <v>927</v>
      </c>
      <c r="C115" s="158">
        <v>2021</v>
      </c>
      <c r="D115" s="552">
        <v>7.79</v>
      </c>
    </row>
    <row r="116" spans="1:4">
      <c r="A116" s="88"/>
      <c r="B116" s="251" t="s">
        <v>928</v>
      </c>
      <c r="C116" s="132">
        <v>2022</v>
      </c>
      <c r="D116" s="584">
        <v>7.84</v>
      </c>
    </row>
    <row r="117" spans="1:4">
      <c r="A117" s="88"/>
      <c r="B117" s="251" t="s">
        <v>929</v>
      </c>
      <c r="C117" s="132">
        <v>2022</v>
      </c>
      <c r="D117" s="584">
        <v>7.69</v>
      </c>
    </row>
    <row r="118" spans="1:4">
      <c r="A118" s="88"/>
      <c r="B118" s="251" t="s">
        <v>930</v>
      </c>
      <c r="C118" s="157">
        <v>2019</v>
      </c>
      <c r="D118" s="576">
        <v>6.04</v>
      </c>
    </row>
    <row r="119" spans="1:4">
      <c r="A119" s="88"/>
      <c r="B119" s="292" t="s">
        <v>931</v>
      </c>
      <c r="C119" s="256">
        <v>2018</v>
      </c>
      <c r="D119" s="579">
        <v>9.14</v>
      </c>
    </row>
    <row r="120" spans="1:4">
      <c r="A120" s="88"/>
      <c r="B120" s="292" t="s">
        <v>932</v>
      </c>
      <c r="C120" s="256">
        <v>2022</v>
      </c>
      <c r="D120" s="579">
        <v>7.91</v>
      </c>
    </row>
    <row r="121" spans="1:4">
      <c r="A121" s="88"/>
      <c r="B121" s="292" t="s">
        <v>933</v>
      </c>
      <c r="C121" s="256">
        <v>2017</v>
      </c>
      <c r="D121" s="579">
        <v>7.93</v>
      </c>
    </row>
    <row r="122" spans="1:4">
      <c r="A122" s="88"/>
      <c r="B122" s="292" t="s">
        <v>934</v>
      </c>
      <c r="C122" s="580">
        <v>2018</v>
      </c>
      <c r="D122" s="581">
        <v>9.5500000000000007</v>
      </c>
    </row>
    <row r="123" spans="1:4">
      <c r="A123" s="88"/>
      <c r="B123" s="475" t="s">
        <v>935</v>
      </c>
      <c r="C123" s="158">
        <v>2021</v>
      </c>
      <c r="D123" s="552">
        <v>6.72</v>
      </c>
    </row>
    <row r="124" spans="1:4">
      <c r="A124" s="88"/>
      <c r="B124" s="292" t="s">
        <v>936</v>
      </c>
      <c r="C124" s="256">
        <v>2018</v>
      </c>
      <c r="D124" s="579">
        <v>5.35</v>
      </c>
    </row>
    <row r="125" spans="1:4">
      <c r="A125" s="88"/>
      <c r="B125" s="292" t="s">
        <v>937</v>
      </c>
      <c r="C125" s="256">
        <v>2017</v>
      </c>
      <c r="D125" s="579">
        <v>6.6</v>
      </c>
    </row>
    <row r="126" spans="1:4">
      <c r="A126" s="88"/>
      <c r="B126" s="587" t="s">
        <v>938</v>
      </c>
      <c r="C126" s="588">
        <v>2021</v>
      </c>
      <c r="D126" s="589">
        <v>7.29</v>
      </c>
    </row>
    <row r="127" spans="1:4">
      <c r="A127" s="88"/>
      <c r="B127" s="292" t="s">
        <v>939</v>
      </c>
      <c r="C127" s="500">
        <v>2022</v>
      </c>
      <c r="D127" s="586">
        <v>7.18</v>
      </c>
    </row>
    <row r="128" spans="1:4">
      <c r="A128" s="88"/>
      <c r="B128" s="590" t="s">
        <v>940</v>
      </c>
      <c r="C128" s="591">
        <v>2023</v>
      </c>
      <c r="D128" s="592">
        <v>5.2</v>
      </c>
    </row>
    <row r="129" spans="1:6">
      <c r="A129" s="88"/>
      <c r="B129" s="292" t="s">
        <v>941</v>
      </c>
      <c r="C129" s="582">
        <v>2023</v>
      </c>
      <c r="D129" s="583">
        <v>5.85</v>
      </c>
    </row>
    <row r="130" spans="1:6">
      <c r="A130" s="88"/>
      <c r="B130" s="292" t="s">
        <v>942</v>
      </c>
      <c r="C130" s="593">
        <v>2022</v>
      </c>
      <c r="D130" s="594">
        <v>7.76</v>
      </c>
    </row>
    <row r="131" spans="1:6">
      <c r="A131" s="88"/>
      <c r="B131" s="244" t="s">
        <v>943</v>
      </c>
      <c r="C131" s="245"/>
      <c r="D131" s="482"/>
    </row>
    <row r="132" spans="1:6">
      <c r="A132" s="88"/>
      <c r="B132" s="251" t="s">
        <v>944</v>
      </c>
      <c r="C132" s="582">
        <v>2023</v>
      </c>
      <c r="D132" s="583">
        <v>4.3600000000000003</v>
      </c>
      <c r="E132" s="88"/>
      <c r="F132" s="489"/>
    </row>
    <row r="133" spans="1:6">
      <c r="A133" s="88"/>
      <c r="B133" s="251" t="s">
        <v>945</v>
      </c>
      <c r="C133" s="132">
        <v>2023</v>
      </c>
      <c r="D133" s="492">
        <v>4.88</v>
      </c>
      <c r="E133" s="88"/>
    </row>
    <row r="134" spans="1:6">
      <c r="A134" s="88"/>
      <c r="B134" s="292" t="s">
        <v>946</v>
      </c>
      <c r="C134" s="256">
        <v>2023</v>
      </c>
      <c r="D134" s="579">
        <v>6.61</v>
      </c>
      <c r="E134" s="88"/>
    </row>
    <row r="135" spans="1:6">
      <c r="A135" s="88"/>
      <c r="B135" s="251" t="s">
        <v>947</v>
      </c>
      <c r="C135" s="132">
        <v>2023</v>
      </c>
      <c r="D135" s="492">
        <v>6.06</v>
      </c>
      <c r="E135" s="88"/>
    </row>
    <row r="136" spans="1:6">
      <c r="A136" s="88"/>
      <c r="B136" s="251" t="s">
        <v>948</v>
      </c>
      <c r="C136" s="582">
        <v>2023</v>
      </c>
      <c r="D136" s="583">
        <v>5.19</v>
      </c>
      <c r="E136" s="88"/>
    </row>
    <row r="137" spans="1:6">
      <c r="A137" s="88"/>
      <c r="B137" s="251" t="s">
        <v>949</v>
      </c>
      <c r="C137" s="582">
        <v>2023</v>
      </c>
      <c r="D137" s="583">
        <v>6.05</v>
      </c>
      <c r="E137" s="88"/>
    </row>
    <row r="138" spans="1:6">
      <c r="A138" s="88"/>
      <c r="B138" s="251" t="s">
        <v>950</v>
      </c>
      <c r="C138" s="582">
        <v>2023</v>
      </c>
      <c r="D138" s="583">
        <v>6.12</v>
      </c>
      <c r="E138" s="88"/>
    </row>
    <row r="139" spans="1:6">
      <c r="A139" s="88"/>
      <c r="B139" s="585" t="s">
        <v>951</v>
      </c>
      <c r="C139" s="272">
        <v>2019</v>
      </c>
      <c r="D139" s="595">
        <v>7.09</v>
      </c>
      <c r="E139" s="88"/>
    </row>
    <row r="140" spans="1:6">
      <c r="A140" s="88"/>
      <c r="B140" s="585" t="s">
        <v>952</v>
      </c>
      <c r="C140" s="596">
        <v>2023</v>
      </c>
      <c r="D140" s="597" t="s">
        <v>917</v>
      </c>
      <c r="E140" s="88"/>
    </row>
    <row r="141" spans="1:6">
      <c r="A141" s="88"/>
      <c r="B141" s="585" t="s">
        <v>953</v>
      </c>
      <c r="C141" s="596">
        <v>2023</v>
      </c>
      <c r="D141" s="597" t="s">
        <v>917</v>
      </c>
      <c r="E141" s="88"/>
    </row>
    <row r="142" spans="1:6">
      <c r="A142" s="88"/>
      <c r="B142" s="590" t="s">
        <v>954</v>
      </c>
      <c r="C142" s="272">
        <v>2022</v>
      </c>
      <c r="D142" s="595">
        <v>6.27</v>
      </c>
      <c r="E142" s="88"/>
    </row>
    <row r="143" spans="1:6">
      <c r="A143" s="88"/>
      <c r="B143" s="251" t="s">
        <v>955</v>
      </c>
      <c r="C143" s="500">
        <v>2023</v>
      </c>
      <c r="D143" s="598">
        <v>6.11</v>
      </c>
      <c r="E143" s="88"/>
    </row>
    <row r="144" spans="1:6">
      <c r="A144" s="88"/>
      <c r="B144" s="585" t="s">
        <v>956</v>
      </c>
      <c r="C144" s="596">
        <v>2019</v>
      </c>
      <c r="D144" s="597">
        <v>7.75</v>
      </c>
      <c r="E144" s="88"/>
    </row>
    <row r="145" spans="1:13">
      <c r="A145" s="88"/>
      <c r="B145" s="585" t="s">
        <v>957</v>
      </c>
      <c r="C145" s="596">
        <v>2023</v>
      </c>
      <c r="D145" s="597">
        <v>5.31</v>
      </c>
      <c r="E145" s="88"/>
    </row>
    <row r="146" spans="1:13">
      <c r="A146" s="88"/>
      <c r="B146" s="258" t="s">
        <v>958</v>
      </c>
      <c r="C146" s="254"/>
      <c r="D146" s="483">
        <v>37</v>
      </c>
      <c r="E146" s="88"/>
      <c r="F146" s="88"/>
    </row>
    <row r="147" spans="1:13">
      <c r="A147" s="88"/>
      <c r="B147" s="258" t="s">
        <v>959</v>
      </c>
      <c r="C147" s="254"/>
      <c r="D147" s="483">
        <v>14</v>
      </c>
      <c r="E147" s="88"/>
      <c r="F147" s="88"/>
    </row>
    <row r="148" spans="1:13">
      <c r="A148" s="88"/>
      <c r="B148" s="258" t="s">
        <v>960</v>
      </c>
      <c r="C148" s="254"/>
      <c r="D148" s="483">
        <f>D146+D147</f>
        <v>51</v>
      </c>
      <c r="E148" s="88"/>
      <c r="F148" s="88"/>
    </row>
    <row r="149" spans="1:13">
      <c r="A149" s="88"/>
      <c r="B149" s="247" t="s">
        <v>961</v>
      </c>
      <c r="C149" s="254"/>
      <c r="D149" s="484">
        <v>1</v>
      </c>
      <c r="E149" s="88"/>
      <c r="G149" s="491"/>
      <c r="H149" s="88"/>
      <c r="I149" s="88"/>
      <c r="J149" s="88"/>
      <c r="K149" s="88"/>
      <c r="M149" s="88"/>
    </row>
    <row r="150" spans="1:13">
      <c r="A150" s="88"/>
      <c r="B150" s="244" t="s">
        <v>962</v>
      </c>
      <c r="C150" s="245"/>
      <c r="D150" s="482"/>
      <c r="E150" s="88"/>
      <c r="G150" s="480"/>
      <c r="H150" s="88"/>
      <c r="M150" s="88"/>
    </row>
    <row r="151" spans="1:13">
      <c r="A151" s="88"/>
      <c r="B151" s="251" t="s">
        <v>963</v>
      </c>
      <c r="C151" s="132">
        <v>2023</v>
      </c>
      <c r="D151" s="492">
        <v>5.68</v>
      </c>
      <c r="E151" s="88"/>
      <c r="M151" s="88"/>
    </row>
    <row r="152" spans="1:13">
      <c r="A152" s="88"/>
      <c r="B152" s="251" t="s">
        <v>964</v>
      </c>
      <c r="C152" s="132">
        <v>2022</v>
      </c>
      <c r="D152" s="492">
        <v>6.36</v>
      </c>
      <c r="E152" s="88"/>
      <c r="M152" s="88"/>
    </row>
    <row r="153" spans="1:13">
      <c r="A153" s="88"/>
      <c r="B153" s="251" t="s">
        <v>965</v>
      </c>
      <c r="C153" s="132">
        <v>2021</v>
      </c>
      <c r="D153" s="492">
        <v>7.13</v>
      </c>
      <c r="E153" s="88"/>
      <c r="M153" s="88"/>
    </row>
    <row r="154" spans="1:13">
      <c r="A154" s="88"/>
      <c r="B154" s="251" t="s">
        <v>966</v>
      </c>
      <c r="C154" s="132">
        <v>2023</v>
      </c>
      <c r="D154" s="492">
        <v>5.54</v>
      </c>
      <c r="E154" s="88"/>
      <c r="M154" s="88"/>
    </row>
    <row r="155" spans="1:13">
      <c r="A155" s="88"/>
      <c r="B155" s="251" t="s">
        <v>967</v>
      </c>
      <c r="C155" s="132">
        <v>2023</v>
      </c>
      <c r="D155" s="492">
        <v>4.9000000000000004</v>
      </c>
      <c r="E155" s="88"/>
      <c r="M155" s="88"/>
    </row>
    <row r="156" spans="1:13">
      <c r="A156" s="88"/>
      <c r="B156" s="251" t="s">
        <v>968</v>
      </c>
      <c r="C156" s="132">
        <v>2023</v>
      </c>
      <c r="D156" s="492">
        <v>6.04</v>
      </c>
      <c r="E156" s="88"/>
      <c r="M156" s="88"/>
    </row>
    <row r="157" spans="1:13">
      <c r="A157" s="88"/>
      <c r="B157" s="251" t="s">
        <v>969</v>
      </c>
      <c r="C157" s="132">
        <v>2022</v>
      </c>
      <c r="D157" s="492">
        <v>5.09</v>
      </c>
      <c r="E157" s="88"/>
    </row>
    <row r="158" spans="1:13">
      <c r="A158" s="88"/>
      <c r="B158" s="251" t="s">
        <v>970</v>
      </c>
      <c r="C158" s="132">
        <v>2023</v>
      </c>
      <c r="D158" s="492">
        <v>5.27</v>
      </c>
      <c r="E158" s="88"/>
    </row>
    <row r="159" spans="1:13">
      <c r="A159" s="88"/>
      <c r="B159" s="251" t="s">
        <v>971</v>
      </c>
      <c r="C159" s="132">
        <v>2022</v>
      </c>
      <c r="D159" s="492">
        <v>5.54</v>
      </c>
      <c r="E159" s="88"/>
    </row>
    <row r="160" spans="1:13">
      <c r="A160" s="88"/>
      <c r="B160" s="251" t="s">
        <v>972</v>
      </c>
      <c r="C160" s="132">
        <v>2023</v>
      </c>
      <c r="D160" s="492">
        <v>6.19</v>
      </c>
      <c r="E160" s="88"/>
    </row>
    <row r="161" spans="1:11">
      <c r="A161" s="88"/>
      <c r="B161" s="251" t="s">
        <v>973</v>
      </c>
      <c r="C161" s="132">
        <v>2023</v>
      </c>
      <c r="D161" s="492">
        <v>5.46</v>
      </c>
      <c r="E161" s="88"/>
    </row>
    <row r="162" spans="1:11">
      <c r="A162" s="88"/>
      <c r="B162" s="251" t="s">
        <v>974</v>
      </c>
      <c r="C162" s="132">
        <v>2023</v>
      </c>
      <c r="D162" s="492">
        <v>5.27</v>
      </c>
      <c r="E162" s="88"/>
    </row>
    <row r="163" spans="1:11">
      <c r="A163" s="88"/>
      <c r="B163" s="251" t="s">
        <v>975</v>
      </c>
      <c r="C163" s="132">
        <v>2023</v>
      </c>
      <c r="D163" s="492">
        <v>5.41</v>
      </c>
      <c r="E163" s="88"/>
    </row>
    <row r="164" spans="1:11">
      <c r="A164" s="88"/>
      <c r="B164" s="251" t="s">
        <v>976</v>
      </c>
      <c r="C164" s="132">
        <v>2023</v>
      </c>
      <c r="D164" s="492">
        <v>5.43</v>
      </c>
      <c r="E164" s="88"/>
      <c r="I164" s="88"/>
      <c r="J164" s="88"/>
      <c r="K164" s="88"/>
    </row>
    <row r="165" spans="1:11">
      <c r="A165" s="88"/>
      <c r="B165" s="244" t="s">
        <v>977</v>
      </c>
      <c r="C165" s="245"/>
      <c r="D165" s="482"/>
      <c r="E165" s="88"/>
      <c r="I165" s="88"/>
      <c r="J165" s="88"/>
      <c r="K165" s="88"/>
    </row>
    <row r="166" spans="1:11">
      <c r="A166" s="88"/>
      <c r="B166" s="493" t="s">
        <v>908</v>
      </c>
      <c r="C166" s="132">
        <v>2016</v>
      </c>
      <c r="D166" s="492">
        <v>8.5500000000000007</v>
      </c>
      <c r="E166" s="88"/>
      <c r="I166" s="88"/>
      <c r="J166" s="88"/>
      <c r="K166" s="88"/>
    </row>
    <row r="167" spans="1:11">
      <c r="A167" s="88"/>
      <c r="B167" s="251" t="s">
        <v>978</v>
      </c>
      <c r="C167" s="132">
        <v>2023</v>
      </c>
      <c r="D167" s="584">
        <v>6.61</v>
      </c>
      <c r="E167" s="88"/>
      <c r="I167" s="88"/>
      <c r="J167" s="88"/>
      <c r="K167" s="88"/>
    </row>
    <row r="168" spans="1:11">
      <c r="A168" s="88"/>
      <c r="B168" s="251" t="s">
        <v>947</v>
      </c>
      <c r="C168" s="132">
        <v>2023</v>
      </c>
      <c r="D168" s="492">
        <v>6.06</v>
      </c>
      <c r="E168" s="88"/>
      <c r="I168" s="88"/>
      <c r="J168" s="88"/>
      <c r="K168" s="88"/>
    </row>
    <row r="169" spans="1:11">
      <c r="A169" s="88"/>
      <c r="B169" s="251" t="s">
        <v>979</v>
      </c>
      <c r="C169" s="132">
        <v>2016</v>
      </c>
      <c r="D169" s="492">
        <v>9.9</v>
      </c>
      <c r="E169" s="88"/>
      <c r="I169" s="88"/>
      <c r="J169" s="88"/>
      <c r="K169" s="88"/>
    </row>
    <row r="170" spans="1:11">
      <c r="A170" s="88"/>
      <c r="B170" s="251" t="s">
        <v>980</v>
      </c>
      <c r="C170" s="132">
        <v>2023</v>
      </c>
      <c r="D170" s="492">
        <v>5.75</v>
      </c>
      <c r="E170" s="88"/>
      <c r="I170" s="88"/>
      <c r="J170" s="88"/>
      <c r="K170" s="88"/>
    </row>
    <row r="171" spans="1:11">
      <c r="A171" s="88"/>
      <c r="B171" s="251" t="s">
        <v>981</v>
      </c>
      <c r="C171" s="132">
        <v>2023</v>
      </c>
      <c r="D171" s="492">
        <v>3.92</v>
      </c>
      <c r="E171" s="88"/>
      <c r="I171" s="88"/>
      <c r="J171" s="88"/>
      <c r="K171" s="88"/>
    </row>
    <row r="172" spans="1:11">
      <c r="A172" s="88"/>
      <c r="B172" s="251" t="s">
        <v>950</v>
      </c>
      <c r="C172" s="132">
        <v>2023</v>
      </c>
      <c r="D172" s="492">
        <v>6.12</v>
      </c>
      <c r="E172" s="88"/>
      <c r="I172" s="88"/>
      <c r="J172" s="88"/>
      <c r="K172" s="88"/>
    </row>
    <row r="173" spans="1:11">
      <c r="A173" s="88"/>
      <c r="B173" s="251" t="s">
        <v>952</v>
      </c>
      <c r="C173" s="132">
        <v>2023</v>
      </c>
      <c r="D173" s="492" t="s">
        <v>917</v>
      </c>
      <c r="E173" s="88"/>
      <c r="I173" s="88"/>
      <c r="J173" s="88"/>
      <c r="K173" s="88"/>
    </row>
    <row r="174" spans="1:11">
      <c r="A174" s="88"/>
      <c r="B174" s="251" t="s">
        <v>982</v>
      </c>
      <c r="C174" s="132">
        <v>2023</v>
      </c>
      <c r="D174" s="492" t="s">
        <v>917</v>
      </c>
      <c r="E174" s="88"/>
      <c r="I174" s="88"/>
      <c r="J174" s="88"/>
      <c r="K174" s="88"/>
    </row>
    <row r="175" spans="1:11">
      <c r="A175" s="88"/>
      <c r="B175" s="493" t="s">
        <v>983</v>
      </c>
      <c r="C175" s="132">
        <v>2021</v>
      </c>
      <c r="D175" s="492">
        <v>6.21</v>
      </c>
      <c r="E175" s="88"/>
      <c r="I175" s="88"/>
      <c r="J175" s="88"/>
      <c r="K175" s="88"/>
    </row>
    <row r="176" spans="1:11">
      <c r="A176" s="88"/>
      <c r="B176" s="251" t="s">
        <v>984</v>
      </c>
      <c r="C176" s="132">
        <v>2023</v>
      </c>
      <c r="D176" s="492">
        <v>5.88</v>
      </c>
      <c r="E176" s="88"/>
      <c r="I176" s="88"/>
      <c r="J176" s="88"/>
      <c r="K176" s="88"/>
    </row>
    <row r="177" spans="1:11">
      <c r="A177" s="88"/>
      <c r="B177" s="251" t="s">
        <v>985</v>
      </c>
      <c r="C177" s="132">
        <v>2023</v>
      </c>
      <c r="D177" s="492">
        <v>6.15</v>
      </c>
      <c r="E177" s="88"/>
      <c r="I177" s="88"/>
      <c r="J177" s="88"/>
      <c r="K177" s="88"/>
    </row>
    <row r="178" spans="1:11">
      <c r="A178" s="88"/>
      <c r="B178" s="251" t="s">
        <v>986</v>
      </c>
      <c r="C178" s="132">
        <v>2023</v>
      </c>
      <c r="D178" s="492">
        <v>6.33</v>
      </c>
      <c r="E178" s="88"/>
      <c r="I178" s="88"/>
      <c r="J178" s="88"/>
      <c r="K178" s="88"/>
    </row>
    <row r="179" spans="1:11">
      <c r="A179" s="88"/>
      <c r="B179" s="251" t="s">
        <v>987</v>
      </c>
      <c r="C179" s="132">
        <v>2023</v>
      </c>
      <c r="D179" s="492">
        <v>6.02</v>
      </c>
      <c r="E179" s="88"/>
      <c r="I179" s="88"/>
      <c r="J179" s="88"/>
      <c r="K179" s="88"/>
    </row>
    <row r="180" spans="1:11">
      <c r="A180" s="88"/>
      <c r="B180" s="251" t="s">
        <v>988</v>
      </c>
      <c r="C180" s="132">
        <v>2023</v>
      </c>
      <c r="D180" s="492">
        <v>4.72</v>
      </c>
      <c r="E180" s="88"/>
      <c r="I180" s="88"/>
      <c r="J180" s="88"/>
      <c r="K180" s="88"/>
    </row>
    <row r="181" spans="1:11">
      <c r="A181" s="88"/>
      <c r="B181" s="251" t="s">
        <v>938</v>
      </c>
      <c r="C181" s="132">
        <v>2021</v>
      </c>
      <c r="D181" s="492">
        <v>7.29</v>
      </c>
      <c r="E181" s="88"/>
      <c r="I181" s="88"/>
      <c r="J181" s="88"/>
      <c r="K181" s="88"/>
    </row>
    <row r="182" spans="1:11">
      <c r="A182" s="88"/>
      <c r="B182" s="251" t="s">
        <v>989</v>
      </c>
      <c r="C182" s="132">
        <v>2019</v>
      </c>
      <c r="D182" s="492">
        <v>7.75</v>
      </c>
      <c r="E182" s="88"/>
      <c r="I182" s="88"/>
      <c r="J182" s="88"/>
      <c r="K182" s="88"/>
    </row>
    <row r="183" spans="1:11">
      <c r="A183" s="88"/>
      <c r="B183" s="494" t="s">
        <v>990</v>
      </c>
      <c r="C183" s="132">
        <v>2023</v>
      </c>
      <c r="D183" s="584">
        <v>5.85</v>
      </c>
      <c r="E183" s="88"/>
      <c r="I183" s="88"/>
      <c r="J183" s="88"/>
      <c r="K183" s="88"/>
    </row>
    <row r="184" spans="1:11">
      <c r="A184" s="88"/>
      <c r="B184" s="251" t="s">
        <v>991</v>
      </c>
      <c r="C184" s="132">
        <v>2023</v>
      </c>
      <c r="D184" s="492">
        <v>5.7</v>
      </c>
      <c r="E184" s="88"/>
      <c r="F184" s="88"/>
      <c r="G184" s="495"/>
      <c r="H184" s="88"/>
      <c r="I184" s="88"/>
      <c r="J184" s="88"/>
      <c r="K184" s="88"/>
    </row>
    <row r="185" spans="1:11">
      <c r="A185" s="88"/>
      <c r="B185" s="258" t="s">
        <v>992</v>
      </c>
      <c r="C185" s="254"/>
      <c r="D185" s="599">
        <v>14</v>
      </c>
      <c r="E185" s="88"/>
      <c r="F185" s="88"/>
      <c r="G185" s="488"/>
      <c r="H185" s="88"/>
      <c r="I185" s="88"/>
      <c r="J185" s="88"/>
      <c r="K185" s="88"/>
    </row>
    <row r="186" spans="1:11">
      <c r="A186" s="88"/>
      <c r="B186" s="258" t="s">
        <v>993</v>
      </c>
      <c r="C186" s="254"/>
      <c r="D186" s="599">
        <v>19</v>
      </c>
      <c r="E186" s="88"/>
      <c r="F186" s="88"/>
      <c r="G186" s="488"/>
      <c r="H186" s="88"/>
      <c r="I186" s="88"/>
      <c r="J186" s="88"/>
      <c r="K186" s="88"/>
    </row>
    <row r="187" spans="1:11">
      <c r="A187" s="88"/>
      <c r="B187" s="258" t="s">
        <v>994</v>
      </c>
      <c r="C187" s="254"/>
      <c r="D187" s="483">
        <f>D185+D186</f>
        <v>33</v>
      </c>
      <c r="E187" s="88"/>
      <c r="F187" s="88"/>
      <c r="G187" s="490"/>
      <c r="H187" s="88"/>
      <c r="I187" s="88"/>
      <c r="J187" s="88"/>
      <c r="K187" s="88"/>
    </row>
    <row r="188" spans="1:11">
      <c r="A188" s="88"/>
      <c r="B188" s="247" t="s">
        <v>995</v>
      </c>
      <c r="C188" s="254"/>
      <c r="D188" s="484">
        <v>1</v>
      </c>
      <c r="E188" s="88"/>
      <c r="F188" s="88"/>
      <c r="G188" s="480"/>
      <c r="H188" s="88"/>
      <c r="I188" s="88"/>
      <c r="J188" s="88"/>
      <c r="K188" s="88"/>
    </row>
    <row r="189" spans="1:11">
      <c r="A189" s="88"/>
      <c r="B189" s="88"/>
      <c r="C189" s="88"/>
      <c r="D189" s="300"/>
      <c r="E189" s="88"/>
      <c r="F189" s="88"/>
      <c r="H189" s="88"/>
      <c r="I189" s="88"/>
      <c r="J189" s="88"/>
      <c r="K189" s="88"/>
    </row>
    <row r="190" spans="1:11">
      <c r="A190" s="88"/>
      <c r="B190" s="247" t="s">
        <v>996</v>
      </c>
      <c r="C190" s="254"/>
      <c r="D190" s="486">
        <v>1</v>
      </c>
      <c r="E190" s="88"/>
      <c r="F190" s="88"/>
      <c r="H190" s="88"/>
      <c r="I190" s="88"/>
      <c r="J190" s="88"/>
      <c r="K190" s="88"/>
    </row>
    <row r="191" spans="1:11">
      <c r="A191" s="88"/>
      <c r="B191" s="88"/>
      <c r="C191" s="88"/>
      <c r="D191" s="300"/>
      <c r="E191" s="88"/>
      <c r="F191" s="88"/>
      <c r="H191" s="88"/>
      <c r="I191" s="88"/>
      <c r="J191" s="88"/>
      <c r="K191" s="88"/>
    </row>
    <row r="192" spans="1:11">
      <c r="A192" s="88"/>
      <c r="B192" s="88" t="s">
        <v>997</v>
      </c>
      <c r="C192" s="88"/>
      <c r="D192" s="300"/>
      <c r="E192" s="88"/>
      <c r="F192" s="88"/>
      <c r="H192" s="88"/>
      <c r="I192" s="88"/>
      <c r="J192" s="88"/>
      <c r="K192" s="88"/>
    </row>
    <row r="193" spans="1:11">
      <c r="A193" s="88"/>
      <c r="B193" s="88"/>
      <c r="C193" s="88"/>
      <c r="D193" s="300"/>
      <c r="E193" s="88"/>
      <c r="F193" s="88"/>
      <c r="H193" s="88"/>
      <c r="I193" s="88"/>
      <c r="J193" s="88"/>
      <c r="K193" s="88"/>
    </row>
    <row r="194" spans="1:11">
      <c r="A194" s="88"/>
      <c r="B194" s="88"/>
      <c r="C194" s="88"/>
      <c r="D194" s="300"/>
      <c r="E194" s="88"/>
      <c r="F194" s="88"/>
      <c r="H194" s="88"/>
      <c r="I194" s="88"/>
      <c r="J194" s="88"/>
      <c r="K194" s="88"/>
    </row>
    <row r="195" spans="1:11">
      <c r="A195" s="88"/>
      <c r="B195" s="88"/>
      <c r="C195" s="88"/>
      <c r="D195" s="300"/>
      <c r="E195" s="88"/>
      <c r="F195" s="88"/>
      <c r="H195" s="88"/>
      <c r="I195" s="88"/>
      <c r="J195" s="88"/>
      <c r="K195" s="88"/>
    </row>
    <row r="196" spans="1:11">
      <c r="A196" s="88"/>
      <c r="B196" s="88"/>
      <c r="C196" s="88"/>
      <c r="D196" s="300"/>
      <c r="E196" s="88"/>
      <c r="F196" s="88"/>
      <c r="H196" s="88"/>
      <c r="I196" s="88"/>
      <c r="J196" s="88"/>
      <c r="K196" s="88"/>
    </row>
    <row r="197" spans="1:11">
      <c r="A197" s="88"/>
      <c r="B197" s="88"/>
      <c r="C197" s="88"/>
      <c r="D197" s="300"/>
      <c r="E197" s="88"/>
      <c r="F197" s="88"/>
      <c r="H197" s="88"/>
      <c r="I197" s="88"/>
      <c r="J197" s="88"/>
      <c r="K197" s="88"/>
    </row>
    <row r="198" spans="1:11">
      <c r="A198" s="88"/>
      <c r="B198" s="88"/>
      <c r="C198" s="88"/>
      <c r="D198" s="300"/>
      <c r="E198" s="88"/>
      <c r="F198" s="88"/>
      <c r="H198" s="88"/>
      <c r="I198" s="88"/>
      <c r="J198" s="88"/>
      <c r="K198" s="88"/>
    </row>
    <row r="199" spans="1:11">
      <c r="A199" s="88"/>
      <c r="B199" s="88"/>
      <c r="C199" s="88"/>
      <c r="D199" s="300"/>
      <c r="E199" s="88"/>
      <c r="F199" s="88"/>
      <c r="H199" s="88"/>
      <c r="I199" s="88"/>
      <c r="J199" s="88"/>
      <c r="K199" s="88"/>
    </row>
    <row r="200" spans="1:11">
      <c r="A200" s="88"/>
      <c r="B200" s="88"/>
      <c r="C200" s="88"/>
      <c r="D200" s="300"/>
      <c r="E200" s="88"/>
      <c r="F200" s="88"/>
      <c r="H200" s="88"/>
      <c r="I200" s="88"/>
      <c r="J200" s="88"/>
      <c r="K200" s="88"/>
    </row>
    <row r="201" spans="1:11">
      <c r="A201" s="88"/>
      <c r="B201" s="88"/>
      <c r="C201" s="88"/>
      <c r="D201" s="300"/>
      <c r="E201" s="88"/>
      <c r="F201" s="88"/>
      <c r="H201" s="88"/>
      <c r="I201" s="88"/>
      <c r="J201" s="88"/>
      <c r="K201" s="88"/>
    </row>
    <row r="202" spans="1:11">
      <c r="A202" s="88"/>
      <c r="B202" s="88"/>
      <c r="C202" s="88"/>
      <c r="D202" s="300"/>
      <c r="E202" s="88"/>
      <c r="F202" s="88"/>
      <c r="H202" s="88"/>
      <c r="I202" s="88"/>
      <c r="J202" s="88"/>
      <c r="K202" s="88"/>
    </row>
    <row r="203" spans="1:11">
      <c r="A203" s="88"/>
      <c r="B203" s="88"/>
      <c r="C203" s="88"/>
      <c r="D203" s="300"/>
      <c r="E203" s="88"/>
      <c r="F203" s="88"/>
      <c r="H203" s="88"/>
      <c r="I203" s="88"/>
      <c r="J203" s="88"/>
      <c r="K203" s="88"/>
    </row>
    <row r="204" spans="1:11">
      <c r="A204" s="88"/>
      <c r="B204" s="88"/>
      <c r="C204" s="88"/>
      <c r="D204" s="300"/>
      <c r="E204" s="88"/>
      <c r="F204" s="88"/>
      <c r="H204" s="88"/>
      <c r="I204" s="88"/>
      <c r="J204" s="88"/>
      <c r="K204" s="88"/>
    </row>
    <row r="205" spans="1:11">
      <c r="A205" s="88"/>
      <c r="B205" s="88"/>
      <c r="C205" s="88"/>
      <c r="D205" s="300"/>
      <c r="E205" s="88"/>
      <c r="F205" s="88"/>
      <c r="H205" s="88"/>
      <c r="I205" s="88"/>
      <c r="J205" s="88"/>
      <c r="K205" s="88"/>
    </row>
    <row r="206" spans="1:11">
      <c r="A206" s="88"/>
      <c r="B206" s="88"/>
      <c r="C206" s="88"/>
      <c r="D206" s="300"/>
      <c r="E206" s="88"/>
      <c r="F206" s="88"/>
      <c r="H206" s="88"/>
      <c r="I206" s="88"/>
      <c r="J206" s="88"/>
      <c r="K206" s="88"/>
    </row>
    <row r="207" spans="1:11">
      <c r="A207" s="88"/>
      <c r="B207" s="88"/>
      <c r="C207" s="88"/>
      <c r="D207" s="300"/>
      <c r="E207" s="88"/>
      <c r="F207" s="88"/>
      <c r="H207" s="88"/>
      <c r="I207" s="88"/>
      <c r="J207" s="88"/>
      <c r="K207" s="88"/>
    </row>
    <row r="208" spans="1:11">
      <c r="A208" s="88"/>
      <c r="B208" s="88"/>
      <c r="C208" s="88"/>
      <c r="D208" s="300"/>
      <c r="E208" s="88"/>
      <c r="F208" s="88"/>
      <c r="H208" s="88"/>
      <c r="I208" s="88"/>
      <c r="J208" s="88"/>
      <c r="K208" s="88"/>
    </row>
    <row r="209" spans="1:11">
      <c r="A209" s="88"/>
      <c r="B209" s="88"/>
      <c r="C209" s="88"/>
      <c r="D209" s="300"/>
      <c r="E209" s="88"/>
      <c r="F209" s="88"/>
      <c r="H209" s="88"/>
      <c r="I209" s="88"/>
      <c r="J209" s="88"/>
      <c r="K209" s="88"/>
    </row>
    <row r="210" spans="1:11">
      <c r="A210" s="88"/>
      <c r="B210" s="88"/>
      <c r="C210" s="88"/>
      <c r="D210" s="300"/>
      <c r="E210" s="88"/>
      <c r="F210" s="88"/>
      <c r="H210" s="88"/>
      <c r="I210" s="88"/>
      <c r="J210" s="88"/>
      <c r="K210" s="88"/>
    </row>
    <row r="211" spans="1:11">
      <c r="A211" s="88"/>
      <c r="B211" s="88"/>
      <c r="C211" s="88"/>
      <c r="D211" s="300"/>
      <c r="E211" s="88"/>
      <c r="F211" s="88"/>
      <c r="H211" s="88"/>
      <c r="I211" s="88"/>
      <c r="J211" s="88"/>
      <c r="K211" s="88"/>
    </row>
    <row r="212" spans="1:11">
      <c r="A212" s="88"/>
      <c r="B212" s="88"/>
      <c r="C212" s="88"/>
      <c r="D212" s="300"/>
      <c r="E212" s="88"/>
      <c r="F212" s="88"/>
      <c r="H212" s="88"/>
      <c r="I212" s="88"/>
      <c r="J212" s="88"/>
      <c r="K212" s="88"/>
    </row>
    <row r="213" spans="1:11">
      <c r="A213" s="88"/>
      <c r="B213" s="88"/>
      <c r="C213" s="88"/>
      <c r="D213" s="300"/>
      <c r="E213" s="88"/>
      <c r="F213" s="88"/>
      <c r="H213" s="88"/>
      <c r="I213" s="88"/>
      <c r="J213" s="88"/>
      <c r="K213" s="88"/>
    </row>
    <row r="214" spans="1:11">
      <c r="A214" s="88"/>
      <c r="B214" s="88"/>
      <c r="C214" s="88"/>
      <c r="D214" s="300"/>
      <c r="E214" s="88"/>
      <c r="F214" s="88"/>
      <c r="H214" s="88"/>
      <c r="I214" s="88"/>
      <c r="J214" s="88"/>
      <c r="K214" s="88"/>
    </row>
    <row r="215" spans="1:11">
      <c r="A215" s="88"/>
      <c r="B215" s="88"/>
      <c r="C215" s="88"/>
      <c r="D215" s="300"/>
      <c r="E215" s="88"/>
      <c r="F215" s="88"/>
      <c r="H215" s="88"/>
      <c r="I215" s="88"/>
      <c r="J215" s="88"/>
      <c r="K215" s="88"/>
    </row>
    <row r="216" spans="1:11">
      <c r="A216" s="88"/>
      <c r="B216" s="88"/>
      <c r="C216" s="237"/>
      <c r="D216" s="300"/>
      <c r="E216" s="88"/>
      <c r="F216" s="88"/>
      <c r="H216" s="88"/>
      <c r="I216" s="88"/>
      <c r="J216" s="88"/>
      <c r="K216" s="88"/>
    </row>
    <row r="217" spans="1:11" ht="14.25" customHeight="1">
      <c r="A217" s="88"/>
      <c r="B217" s="829"/>
      <c r="C217" s="829"/>
      <c r="D217" s="829"/>
      <c r="E217" s="88"/>
      <c r="F217" s="88"/>
      <c r="H217" s="88"/>
      <c r="I217" s="88"/>
      <c r="J217" s="88"/>
      <c r="K217" s="88"/>
    </row>
    <row r="218" spans="1:11" ht="15.6">
      <c r="A218" s="88"/>
      <c r="B218" s="81"/>
      <c r="C218" s="237"/>
      <c r="D218" s="300"/>
      <c r="E218" s="88"/>
      <c r="F218" s="88"/>
      <c r="H218" s="88"/>
      <c r="I218" s="88"/>
      <c r="J218" s="88"/>
      <c r="K218" s="88"/>
    </row>
    <row r="219" spans="1:11">
      <c r="A219" s="88"/>
      <c r="B219" s="88"/>
      <c r="C219" s="237"/>
      <c r="D219" s="300"/>
      <c r="E219" s="88"/>
      <c r="F219" s="88"/>
      <c r="H219" s="88"/>
      <c r="I219" s="88"/>
      <c r="J219" s="88"/>
      <c r="K219" s="88"/>
    </row>
    <row r="220" spans="1:11">
      <c r="A220" s="88"/>
      <c r="B220" s="66"/>
      <c r="C220" s="237"/>
      <c r="D220" s="300"/>
      <c r="E220" s="88"/>
      <c r="F220" s="88"/>
      <c r="H220" s="88"/>
      <c r="I220" s="88"/>
      <c r="J220" s="88"/>
      <c r="K220" s="88"/>
    </row>
    <row r="221" spans="1:11">
      <c r="A221" s="88"/>
      <c r="B221" s="88"/>
      <c r="C221" s="237"/>
      <c r="D221" s="300"/>
      <c r="E221" s="88"/>
      <c r="F221" s="88"/>
      <c r="H221" s="88"/>
      <c r="I221" s="88"/>
      <c r="J221" s="88"/>
      <c r="K221" s="88"/>
    </row>
    <row r="222" spans="1:11">
      <c r="A222" s="88"/>
      <c r="B222" s="259"/>
      <c r="C222" s="237"/>
      <c r="D222" s="300"/>
      <c r="E222" s="88"/>
      <c r="F222" s="88"/>
      <c r="H222" s="88"/>
      <c r="I222" s="88"/>
      <c r="J222" s="88"/>
      <c r="K222" s="88"/>
    </row>
    <row r="223" spans="1:11" ht="45" customHeight="1">
      <c r="A223" s="88"/>
      <c r="B223" s="88"/>
      <c r="C223" s="237"/>
      <c r="D223" s="300"/>
      <c r="E223" s="88"/>
      <c r="F223" s="88"/>
      <c r="H223" s="88"/>
      <c r="I223" s="88"/>
    </row>
    <row r="224" spans="1:11">
      <c r="A224" s="88"/>
      <c r="B224" s="88"/>
      <c r="C224" s="237"/>
      <c r="D224" s="300"/>
      <c r="E224" s="88"/>
      <c r="F224" s="88"/>
      <c r="H224" s="88"/>
      <c r="I224" s="88"/>
    </row>
    <row r="225" spans="1:9">
      <c r="A225" s="88"/>
      <c r="B225" s="88"/>
      <c r="C225" s="237"/>
      <c r="D225" s="300"/>
      <c r="E225" s="88"/>
      <c r="F225" s="88"/>
      <c r="G225" s="88"/>
      <c r="H225" s="88"/>
      <c r="I225" s="88"/>
    </row>
    <row r="226" spans="1:9">
      <c r="A226" s="88"/>
      <c r="B226" s="88"/>
      <c r="C226" s="237"/>
      <c r="D226" s="300"/>
      <c r="E226" s="88"/>
      <c r="F226" s="88"/>
      <c r="G226" s="88"/>
      <c r="H226" s="88"/>
      <c r="I226" s="88"/>
    </row>
    <row r="227" spans="1:9">
      <c r="A227" s="88"/>
      <c r="E227" s="88"/>
      <c r="F227" s="88"/>
      <c r="G227" s="88"/>
      <c r="H227" s="88"/>
      <c r="I227" s="88"/>
    </row>
    <row r="228" spans="1:9">
      <c r="A228" s="88"/>
      <c r="E228" s="88"/>
      <c r="F228" s="88"/>
      <c r="G228" s="88"/>
      <c r="H228" s="88"/>
      <c r="I228" s="88"/>
    </row>
    <row r="229" spans="1:9">
      <c r="A229" s="88"/>
      <c r="E229" s="88"/>
      <c r="F229" s="88"/>
      <c r="G229" s="88"/>
      <c r="H229" s="88"/>
      <c r="I229" s="88"/>
    </row>
    <row r="230" spans="1:9">
      <c r="A230" s="88"/>
      <c r="E230" s="88"/>
      <c r="F230" s="88"/>
      <c r="G230" s="88"/>
      <c r="H230" s="88"/>
      <c r="I230" s="88"/>
    </row>
    <row r="231" spans="1:9">
      <c r="A231" s="88"/>
      <c r="E231" s="88"/>
      <c r="F231" s="88"/>
      <c r="G231" s="88"/>
      <c r="H231" s="88"/>
      <c r="I231" s="88"/>
    </row>
    <row r="232" spans="1:9">
      <c r="A232" s="88"/>
      <c r="E232" s="88"/>
      <c r="F232" s="88"/>
      <c r="G232" s="88"/>
      <c r="H232" s="88"/>
      <c r="I232" s="88"/>
    </row>
  </sheetData>
  <sheetProtection algorithmName="SHA-512" hashValue="i65JXjjgL0vFUWssaMUAZG/BRiVr/3RL4nrjNJDJXiYB/QNachdBq9LKzjsq0+9WVi74WGqX0nG2f60t674png==" saltValue="DZCG8jr1KJtpWFwbbOlQ/w==" spinCount="100000" sheet="1" objects="1" scenarios="1"/>
  <mergeCells count="7">
    <mergeCell ref="B217:D217"/>
    <mergeCell ref="B4:K4"/>
    <mergeCell ref="D6:K6"/>
    <mergeCell ref="D7:K7"/>
    <mergeCell ref="D8:K8"/>
    <mergeCell ref="D9:K9"/>
    <mergeCell ref="D10:K10"/>
  </mergeCells>
  <hyperlinks>
    <hyperlink ref="A1" location="'Data Pack Overview'!A1" display="H" xr:uid="{5AF539F1-A568-42A5-988D-289B9E22FE55}"/>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6BBCC-5164-4D18-90C1-227FDFD995B3}">
  <sheetPr>
    <tabColor rgb="FF92D050"/>
  </sheetPr>
  <dimension ref="A1:T107"/>
  <sheetViews>
    <sheetView showGridLines="0" workbookViewId="0"/>
  </sheetViews>
  <sheetFormatPr defaultRowHeight="15" customHeight="1"/>
  <cols>
    <col min="1" max="2" width="2.5546875" customWidth="1"/>
    <col min="3" max="3" width="33.5546875" customWidth="1"/>
    <col min="4" max="4" width="7.5546875" customWidth="1"/>
    <col min="5" max="5" width="8.5546875" hidden="1" customWidth="1"/>
    <col min="6" max="6" width="9.6640625" customWidth="1"/>
    <col min="7" max="7" width="9.6640625" hidden="1" customWidth="1"/>
    <col min="8" max="8" width="7.44140625" bestFit="1" customWidth="1"/>
    <col min="9" max="9" width="10.5546875" hidden="1" customWidth="1"/>
    <col min="10" max="10" width="8.5546875" hidden="1" customWidth="1"/>
    <col min="11" max="11" width="11" style="496" customWidth="1"/>
    <col min="12" max="12" width="9.44140625" style="496" customWidth="1"/>
    <col min="13" max="13" width="13.44140625" style="496" customWidth="1"/>
    <col min="14" max="14" width="29.5546875" customWidth="1"/>
    <col min="15" max="15" width="5.44140625" customWidth="1"/>
    <col min="16" max="16" width="23.44140625" customWidth="1"/>
    <col min="17" max="17" width="9.6640625" customWidth="1"/>
    <col min="18" max="18" width="14.33203125" customWidth="1"/>
    <col min="19" max="19" width="18.44140625" hidden="1" customWidth="1"/>
  </cols>
  <sheetData>
    <row r="1" spans="1:20" ht="14.4">
      <c r="A1" s="18" t="s">
        <v>32</v>
      </c>
      <c r="B1" s="791"/>
      <c r="C1" s="88"/>
      <c r="D1" s="88"/>
      <c r="E1" s="88"/>
      <c r="F1" s="88"/>
      <c r="G1" s="88"/>
      <c r="H1" s="88"/>
      <c r="I1" s="88"/>
      <c r="J1" s="88"/>
      <c r="K1" s="237"/>
      <c r="L1" s="237"/>
      <c r="M1" s="237"/>
      <c r="N1" s="102"/>
      <c r="O1" s="88"/>
      <c r="P1" s="88"/>
      <c r="Q1" s="237"/>
      <c r="R1" s="237"/>
      <c r="S1" s="237"/>
      <c r="T1" s="88"/>
    </row>
    <row r="2" spans="1:20" ht="21">
      <c r="A2" s="88"/>
      <c r="B2" s="88"/>
      <c r="C2" s="39" t="s">
        <v>998</v>
      </c>
      <c r="D2" s="39"/>
      <c r="E2" s="88"/>
      <c r="F2" s="260"/>
      <c r="G2" s="221"/>
      <c r="H2" s="261"/>
      <c r="I2" s="88"/>
      <c r="J2" s="88"/>
      <c r="K2" s="237"/>
      <c r="L2" s="237"/>
      <c r="O2" s="88"/>
      <c r="P2" s="88"/>
      <c r="Q2" s="237"/>
      <c r="R2" s="237"/>
      <c r="S2" s="237"/>
      <c r="T2" s="88"/>
    </row>
    <row r="3" spans="1:20" ht="14.4">
      <c r="A3" s="88"/>
      <c r="B3" s="88"/>
      <c r="C3" s="88"/>
      <c r="H3" s="261"/>
      <c r="I3" s="88"/>
      <c r="J3" s="88"/>
      <c r="K3" s="237"/>
      <c r="L3" s="497"/>
      <c r="O3" s="88"/>
      <c r="P3" s="88"/>
      <c r="Q3" s="237"/>
      <c r="R3" s="237"/>
      <c r="S3" s="237"/>
      <c r="T3" s="88"/>
    </row>
    <row r="4" spans="1:20" ht="15.6">
      <c r="A4" s="88"/>
      <c r="B4" s="88"/>
      <c r="C4" s="81" t="s">
        <v>326</v>
      </c>
      <c r="H4" s="88"/>
      <c r="I4" s="88"/>
      <c r="J4" s="88"/>
      <c r="K4" s="237"/>
      <c r="L4" s="237"/>
      <c r="O4" s="88"/>
      <c r="P4" s="81" t="s">
        <v>420</v>
      </c>
      <c r="Q4" s="237"/>
      <c r="R4" s="237"/>
      <c r="S4" s="237"/>
      <c r="T4" s="88"/>
    </row>
    <row r="5" spans="1:20" ht="41.1" customHeight="1">
      <c r="A5" s="88"/>
      <c r="B5" s="88"/>
      <c r="C5" s="881" t="s">
        <v>999</v>
      </c>
      <c r="D5" s="881"/>
      <c r="E5" s="881"/>
      <c r="F5" s="881"/>
      <c r="G5" s="881"/>
      <c r="H5" s="881"/>
      <c r="I5" s="881"/>
      <c r="J5" s="881"/>
      <c r="K5" s="881"/>
      <c r="L5" s="881"/>
      <c r="M5" s="881"/>
      <c r="N5" s="881"/>
      <c r="O5" s="88"/>
      <c r="P5" s="81"/>
      <c r="Q5" s="237"/>
      <c r="R5" s="237"/>
      <c r="S5" s="237"/>
      <c r="T5" s="88"/>
    </row>
    <row r="6" spans="1:20" ht="14.4">
      <c r="A6" s="88"/>
      <c r="B6" s="88"/>
      <c r="C6" s="899"/>
      <c r="D6" s="899"/>
      <c r="E6" s="262"/>
      <c r="F6" s="88"/>
      <c r="G6" s="88"/>
      <c r="H6" s="237"/>
      <c r="I6" s="237"/>
      <c r="J6" s="237"/>
      <c r="K6" s="237"/>
      <c r="L6" s="237"/>
      <c r="M6" s="237"/>
      <c r="N6" s="88"/>
      <c r="O6" s="88"/>
      <c r="P6" s="88"/>
      <c r="Q6" s="88"/>
      <c r="R6" s="88"/>
      <c r="S6" s="88"/>
      <c r="T6" s="88"/>
    </row>
    <row r="7" spans="1:20" ht="21.6">
      <c r="A7" s="88"/>
      <c r="B7" s="88"/>
      <c r="C7" s="42" t="s">
        <v>1000</v>
      </c>
      <c r="D7" s="43" t="s">
        <v>1001</v>
      </c>
      <c r="E7" s="263" t="s">
        <v>1002</v>
      </c>
      <c r="F7" s="62" t="s">
        <v>1003</v>
      </c>
      <c r="G7" s="62" t="s">
        <v>1004</v>
      </c>
      <c r="H7" s="62" t="s">
        <v>1005</v>
      </c>
      <c r="I7" s="62" t="s">
        <v>1004</v>
      </c>
      <c r="J7" s="62" t="s">
        <v>1002</v>
      </c>
      <c r="K7" s="62" t="s">
        <v>1006</v>
      </c>
      <c r="L7" s="62" t="s">
        <v>1007</v>
      </c>
      <c r="M7" s="62" t="s">
        <v>1008</v>
      </c>
      <c r="N7" s="61" t="s">
        <v>1009</v>
      </c>
      <c r="O7" s="88"/>
      <c r="P7" s="42" t="s">
        <v>1000</v>
      </c>
      <c r="Q7" s="43" t="s">
        <v>1001</v>
      </c>
      <c r="R7" s="43" t="s">
        <v>1010</v>
      </c>
      <c r="S7" s="43" t="s">
        <v>1011</v>
      </c>
      <c r="T7" s="88"/>
    </row>
    <row r="8" spans="1:20" ht="14.4">
      <c r="A8" s="88"/>
      <c r="B8" s="88"/>
      <c r="C8" s="226" t="s">
        <v>683</v>
      </c>
      <c r="D8" s="227"/>
      <c r="E8" s="264"/>
      <c r="F8" s="264"/>
      <c r="G8" s="264"/>
      <c r="H8" s="265"/>
      <c r="I8" s="264"/>
      <c r="J8" s="264"/>
      <c r="K8" s="267"/>
      <c r="L8" s="267"/>
      <c r="M8" s="267"/>
      <c r="N8" s="266"/>
      <c r="O8" s="88"/>
      <c r="P8" s="226" t="s">
        <v>667</v>
      </c>
      <c r="Q8" s="267"/>
      <c r="R8" s="267"/>
      <c r="S8" s="268"/>
      <c r="T8" s="269"/>
    </row>
    <row r="9" spans="1:20" ht="14.4">
      <c r="A9" s="88"/>
      <c r="B9" s="88"/>
      <c r="C9" s="250" t="s">
        <v>1012</v>
      </c>
      <c r="D9" s="157" t="s">
        <v>1013</v>
      </c>
      <c r="E9" s="498">
        <v>30807.200000000001</v>
      </c>
      <c r="F9" s="132">
        <v>3.5</v>
      </c>
      <c r="G9" s="132">
        <f>F9*E9</f>
        <v>107825.2</v>
      </c>
      <c r="H9" s="157">
        <v>1.5</v>
      </c>
      <c r="I9" s="157">
        <f>H9*E9</f>
        <v>46210.8</v>
      </c>
      <c r="J9" s="132">
        <v>29898</v>
      </c>
      <c r="K9" s="157">
        <v>3</v>
      </c>
      <c r="L9" s="222">
        <v>4</v>
      </c>
      <c r="M9" s="222"/>
      <c r="N9" s="600" t="s">
        <v>1014</v>
      </c>
      <c r="O9" s="88"/>
      <c r="P9" s="270" t="s">
        <v>1015</v>
      </c>
      <c r="Q9" s="222" t="s">
        <v>1016</v>
      </c>
      <c r="R9" s="271"/>
      <c r="S9" s="157" t="s">
        <v>1017</v>
      </c>
      <c r="T9" s="88"/>
    </row>
    <row r="10" spans="1:20" ht="14.4">
      <c r="A10" s="88"/>
      <c r="B10" s="88"/>
      <c r="C10" s="250" t="s">
        <v>1018</v>
      </c>
      <c r="D10" s="272" t="s">
        <v>1019</v>
      </c>
      <c r="E10" s="499">
        <v>12771</v>
      </c>
      <c r="F10" s="500">
        <v>2</v>
      </c>
      <c r="G10" s="132">
        <f>F10*E10</f>
        <v>25542</v>
      </c>
      <c r="H10" s="272">
        <v>2.5</v>
      </c>
      <c r="I10" s="157">
        <f t="shared" ref="I10:I28" si="0">H10*E10</f>
        <v>31927.5</v>
      </c>
      <c r="J10" s="499">
        <v>12802</v>
      </c>
      <c r="K10" s="222">
        <v>3</v>
      </c>
      <c r="L10" s="222"/>
      <c r="M10" s="501"/>
      <c r="N10" s="156" t="s">
        <v>1014</v>
      </c>
      <c r="O10" s="88"/>
      <c r="P10" s="270" t="s">
        <v>1020</v>
      </c>
      <c r="Q10" s="222" t="s">
        <v>1016</v>
      </c>
      <c r="R10" s="271"/>
      <c r="S10" s="157" t="s">
        <v>1017</v>
      </c>
      <c r="T10" s="88"/>
    </row>
    <row r="11" spans="1:20" ht="14.4">
      <c r="A11" s="88"/>
      <c r="B11" s="88"/>
      <c r="C11" s="250" t="s">
        <v>1021</v>
      </c>
      <c r="D11" s="157" t="s">
        <v>1022</v>
      </c>
      <c r="E11" s="499">
        <v>5881</v>
      </c>
      <c r="F11" s="500">
        <v>6</v>
      </c>
      <c r="G11" s="132">
        <f>F11*E11</f>
        <v>35286</v>
      </c>
      <c r="H11" s="157">
        <v>4</v>
      </c>
      <c r="I11" s="157">
        <f>H11*E11</f>
        <v>23524</v>
      </c>
      <c r="J11" s="499">
        <v>6547</v>
      </c>
      <c r="K11" s="222">
        <v>1</v>
      </c>
      <c r="L11" s="222">
        <v>5</v>
      </c>
      <c r="M11" s="501"/>
      <c r="N11" s="156" t="s">
        <v>1014</v>
      </c>
      <c r="O11" s="88"/>
      <c r="P11" s="270" t="s">
        <v>1023</v>
      </c>
      <c r="Q11" s="222" t="s">
        <v>1016</v>
      </c>
      <c r="R11" s="271"/>
      <c r="S11" s="157" t="s">
        <v>1017</v>
      </c>
      <c r="T11" s="88"/>
    </row>
    <row r="12" spans="1:20" ht="14.4">
      <c r="A12" s="88"/>
      <c r="B12" s="88"/>
      <c r="C12" s="250" t="s">
        <v>1024</v>
      </c>
      <c r="D12" s="157" t="s">
        <v>1022</v>
      </c>
      <c r="E12" s="498">
        <v>10697</v>
      </c>
      <c r="F12" s="132">
        <v>6</v>
      </c>
      <c r="G12" s="132">
        <f t="shared" ref="G12:G28" si="1">F12*E12</f>
        <v>64182</v>
      </c>
      <c r="H12" s="157">
        <v>4</v>
      </c>
      <c r="I12" s="157">
        <f t="shared" si="0"/>
        <v>42788</v>
      </c>
      <c r="J12" s="498">
        <v>10029</v>
      </c>
      <c r="K12" s="157">
        <v>4</v>
      </c>
      <c r="L12" s="222">
        <v>5</v>
      </c>
      <c r="M12" s="501"/>
      <c r="N12" s="156" t="s">
        <v>1014</v>
      </c>
      <c r="O12" s="88"/>
      <c r="P12" s="270" t="s">
        <v>1025</v>
      </c>
      <c r="Q12" s="222" t="s">
        <v>1016</v>
      </c>
      <c r="R12" s="271"/>
      <c r="S12" s="157"/>
      <c r="T12" s="88"/>
    </row>
    <row r="13" spans="1:20" ht="14.4">
      <c r="A13" s="88"/>
      <c r="B13" s="88"/>
      <c r="C13" s="250" t="s">
        <v>1026</v>
      </c>
      <c r="D13" s="157" t="s">
        <v>1022</v>
      </c>
      <c r="E13" s="498">
        <v>28152.5</v>
      </c>
      <c r="F13" s="132">
        <v>6</v>
      </c>
      <c r="G13" s="132">
        <f t="shared" si="1"/>
        <v>168915</v>
      </c>
      <c r="H13" s="157">
        <v>5</v>
      </c>
      <c r="I13" s="157">
        <f t="shared" si="0"/>
        <v>140762.5</v>
      </c>
      <c r="J13" s="132">
        <v>27553</v>
      </c>
      <c r="K13" s="157">
        <v>4</v>
      </c>
      <c r="L13" s="118"/>
      <c r="M13" s="501"/>
      <c r="N13" s="222"/>
      <c r="O13" s="88"/>
      <c r="P13" s="270" t="s">
        <v>1027</v>
      </c>
      <c r="Q13" s="222" t="s">
        <v>1016</v>
      </c>
      <c r="R13" s="271"/>
      <c r="S13" s="157"/>
      <c r="T13" s="88"/>
    </row>
    <row r="14" spans="1:20" ht="14.4">
      <c r="A14" s="88"/>
      <c r="B14" s="88"/>
      <c r="C14" s="250" t="s">
        <v>1028</v>
      </c>
      <c r="D14" s="272" t="s">
        <v>1019</v>
      </c>
      <c r="E14" s="498">
        <v>27857.3</v>
      </c>
      <c r="F14" s="500">
        <v>6</v>
      </c>
      <c r="G14" s="132">
        <f t="shared" si="1"/>
        <v>167143.79999999999</v>
      </c>
      <c r="H14" s="272">
        <v>5.5</v>
      </c>
      <c r="I14" s="157">
        <f t="shared" si="0"/>
        <v>153215.15</v>
      </c>
      <c r="J14" s="500">
        <v>36100</v>
      </c>
      <c r="K14" s="272">
        <v>4</v>
      </c>
      <c r="L14" s="118"/>
      <c r="M14" s="501"/>
      <c r="N14" s="156" t="s">
        <v>1014</v>
      </c>
      <c r="O14" s="88"/>
      <c r="P14" s="270" t="s">
        <v>1029</v>
      </c>
      <c r="Q14" s="222" t="s">
        <v>1016</v>
      </c>
      <c r="R14" s="271"/>
      <c r="S14" s="157"/>
      <c r="T14" s="88"/>
    </row>
    <row r="15" spans="1:20" ht="14.4">
      <c r="A15" s="88"/>
      <c r="B15" s="88"/>
      <c r="C15" s="250" t="s">
        <v>1030</v>
      </c>
      <c r="D15" s="272" t="s">
        <v>1019</v>
      </c>
      <c r="E15" s="498">
        <v>50462.5</v>
      </c>
      <c r="F15" s="132">
        <v>6</v>
      </c>
      <c r="G15" s="132">
        <f t="shared" si="1"/>
        <v>302775</v>
      </c>
      <c r="H15" s="157">
        <v>5</v>
      </c>
      <c r="I15" s="157">
        <f t="shared" si="0"/>
        <v>252312.5</v>
      </c>
      <c r="J15" s="132">
        <v>55374</v>
      </c>
      <c r="K15" s="157">
        <v>4</v>
      </c>
      <c r="L15" s="118"/>
      <c r="M15" s="501"/>
      <c r="N15" s="222"/>
      <c r="O15" s="88"/>
      <c r="P15" s="275" t="s">
        <v>1031</v>
      </c>
      <c r="Q15" s="157" t="s">
        <v>1016</v>
      </c>
      <c r="R15" s="276"/>
      <c r="S15" s="277"/>
      <c r="T15" s="88"/>
    </row>
    <row r="16" spans="1:20" ht="14.4">
      <c r="A16" s="88"/>
      <c r="B16" s="88"/>
      <c r="C16" s="250" t="s">
        <v>1032</v>
      </c>
      <c r="D16" s="272" t="s">
        <v>1019</v>
      </c>
      <c r="E16" s="498">
        <v>71658.2</v>
      </c>
      <c r="F16" s="118" t="s">
        <v>1033</v>
      </c>
      <c r="G16" s="132">
        <v>0</v>
      </c>
      <c r="H16" s="157">
        <v>3.5</v>
      </c>
      <c r="I16" s="157">
        <f t="shared" si="0"/>
        <v>250803.69999999998</v>
      </c>
      <c r="J16" s="132">
        <v>73659</v>
      </c>
      <c r="K16" s="157">
        <v>3</v>
      </c>
      <c r="L16" s="222">
        <v>5</v>
      </c>
      <c r="M16" s="501"/>
      <c r="N16" s="222"/>
      <c r="O16" s="88"/>
      <c r="P16" s="275" t="s">
        <v>1034</v>
      </c>
      <c r="Q16" s="157" t="s">
        <v>1035</v>
      </c>
      <c r="R16" s="276"/>
      <c r="S16" s="277"/>
      <c r="T16" s="88"/>
    </row>
    <row r="17" spans="1:20" ht="14.4">
      <c r="A17" s="88"/>
      <c r="B17" s="88"/>
      <c r="C17" s="250" t="s">
        <v>1036</v>
      </c>
      <c r="D17" s="157" t="s">
        <v>1013</v>
      </c>
      <c r="E17" s="498">
        <v>10160</v>
      </c>
      <c r="F17" s="132">
        <v>0</v>
      </c>
      <c r="G17" s="132">
        <f t="shared" si="1"/>
        <v>0</v>
      </c>
      <c r="H17" s="157">
        <v>1.5</v>
      </c>
      <c r="I17" s="157">
        <f t="shared" si="0"/>
        <v>15240</v>
      </c>
      <c r="J17" s="132">
        <v>10029</v>
      </c>
      <c r="K17" s="157">
        <v>3</v>
      </c>
      <c r="L17" s="222">
        <v>4</v>
      </c>
      <c r="M17" s="501"/>
      <c r="N17" s="222"/>
      <c r="O17" s="88"/>
      <c r="P17" s="275" t="s">
        <v>1037</v>
      </c>
      <c r="Q17" s="157" t="s">
        <v>1016</v>
      </c>
      <c r="R17" s="276"/>
      <c r="S17" s="157" t="s">
        <v>1017</v>
      </c>
      <c r="T17" s="88"/>
    </row>
    <row r="18" spans="1:20" ht="14.4">
      <c r="A18" s="88"/>
      <c r="B18" s="88"/>
      <c r="C18" s="250" t="s">
        <v>1038</v>
      </c>
      <c r="D18" s="157" t="s">
        <v>1022</v>
      </c>
      <c r="E18" s="498">
        <v>31805.599999999999</v>
      </c>
      <c r="F18" s="132">
        <v>5.5</v>
      </c>
      <c r="G18" s="132">
        <f t="shared" si="1"/>
        <v>174930.8</v>
      </c>
      <c r="H18" s="222" t="s">
        <v>1039</v>
      </c>
      <c r="I18" s="157">
        <v>0</v>
      </c>
      <c r="J18" s="132">
        <v>37871</v>
      </c>
      <c r="K18" s="157">
        <v>4</v>
      </c>
      <c r="L18" s="222">
        <v>4</v>
      </c>
      <c r="M18" s="501"/>
      <c r="N18" s="156" t="s">
        <v>1014</v>
      </c>
      <c r="O18" s="88"/>
      <c r="P18" s="275" t="s">
        <v>1040</v>
      </c>
      <c r="Q18" s="157" t="s">
        <v>1016</v>
      </c>
      <c r="R18" s="276"/>
      <c r="S18" s="277"/>
      <c r="T18" s="88"/>
    </row>
    <row r="19" spans="1:20" ht="14.4">
      <c r="A19" s="88"/>
      <c r="B19" s="88"/>
      <c r="C19" s="250" t="s">
        <v>1041</v>
      </c>
      <c r="D19" s="272" t="s">
        <v>1019</v>
      </c>
      <c r="E19" s="498">
        <v>56780.1</v>
      </c>
      <c r="F19" s="132">
        <v>4.5</v>
      </c>
      <c r="G19" s="132">
        <f t="shared" si="1"/>
        <v>255510.44999999998</v>
      </c>
      <c r="H19" s="157">
        <v>3</v>
      </c>
      <c r="I19" s="157">
        <f t="shared" si="0"/>
        <v>170340.3</v>
      </c>
      <c r="J19" s="132">
        <v>56490</v>
      </c>
      <c r="K19" s="157">
        <v>4</v>
      </c>
      <c r="L19" s="222">
        <v>4</v>
      </c>
      <c r="M19" s="501"/>
      <c r="N19" s="118"/>
      <c r="O19" s="88"/>
      <c r="P19" s="275" t="s">
        <v>1042</v>
      </c>
      <c r="Q19" s="157" t="s">
        <v>1016</v>
      </c>
      <c r="R19" s="276"/>
      <c r="S19" s="157" t="s">
        <v>1043</v>
      </c>
      <c r="T19" s="88"/>
    </row>
    <row r="20" spans="1:20" ht="14.4">
      <c r="A20" s="88"/>
      <c r="B20" s="88"/>
      <c r="C20" s="250" t="s">
        <v>1044</v>
      </c>
      <c r="D20" s="272" t="s">
        <v>1019</v>
      </c>
      <c r="E20" s="498">
        <v>16074.3</v>
      </c>
      <c r="F20" s="132">
        <v>5</v>
      </c>
      <c r="G20" s="132">
        <f t="shared" si="1"/>
        <v>80371.5</v>
      </c>
      <c r="H20" s="157">
        <v>4.5</v>
      </c>
      <c r="I20" s="157">
        <f t="shared" si="0"/>
        <v>72334.349999999991</v>
      </c>
      <c r="J20" s="132">
        <v>15903</v>
      </c>
      <c r="K20" s="157">
        <v>4</v>
      </c>
      <c r="L20" s="132"/>
      <c r="M20" s="501"/>
      <c r="N20" s="156" t="s">
        <v>1014</v>
      </c>
      <c r="O20" s="88"/>
      <c r="P20" s="275" t="s">
        <v>1045</v>
      </c>
      <c r="Q20" s="157" t="s">
        <v>1016</v>
      </c>
      <c r="R20" s="276"/>
      <c r="S20" s="157" t="s">
        <v>1043</v>
      </c>
      <c r="T20" s="88"/>
    </row>
    <row r="21" spans="1:20" ht="14.4">
      <c r="A21" s="88"/>
      <c r="B21" s="88"/>
      <c r="C21" s="250" t="s">
        <v>1046</v>
      </c>
      <c r="D21" s="157" t="s">
        <v>1047</v>
      </c>
      <c r="E21" s="498">
        <v>38106.300000000003</v>
      </c>
      <c r="F21" s="132">
        <v>5</v>
      </c>
      <c r="G21" s="132">
        <f t="shared" si="1"/>
        <v>190531.5</v>
      </c>
      <c r="H21" s="157">
        <v>3.5</v>
      </c>
      <c r="I21" s="157">
        <f t="shared" si="0"/>
        <v>133372.05000000002</v>
      </c>
      <c r="J21" s="132">
        <v>38857</v>
      </c>
      <c r="K21" s="157">
        <v>4</v>
      </c>
      <c r="L21" s="132"/>
      <c r="M21" s="501"/>
      <c r="N21" s="137"/>
      <c r="O21" s="88"/>
      <c r="P21" s="502" t="s">
        <v>1048</v>
      </c>
      <c r="Q21" s="157" t="s">
        <v>1035</v>
      </c>
      <c r="R21" s="276"/>
      <c r="S21" s="464"/>
      <c r="T21" s="88"/>
    </row>
    <row r="22" spans="1:20" ht="14.4">
      <c r="A22" s="88"/>
      <c r="B22" s="88"/>
      <c r="C22" s="251" t="s">
        <v>1049</v>
      </c>
      <c r="D22" s="272" t="s">
        <v>1019</v>
      </c>
      <c r="E22" s="251"/>
      <c r="F22" s="273"/>
      <c r="G22" s="273"/>
      <c r="H22" s="273"/>
      <c r="I22" s="273"/>
      <c r="J22" s="273"/>
      <c r="K22" s="271"/>
      <c r="L22" s="271"/>
      <c r="M22" s="503"/>
      <c r="N22" s="274"/>
      <c r="O22" s="88"/>
      <c r="P22" s="502" t="s">
        <v>1050</v>
      </c>
      <c r="Q22" s="157" t="s">
        <v>1035</v>
      </c>
      <c r="R22" s="276"/>
      <c r="S22" s="464"/>
      <c r="T22" s="88"/>
    </row>
    <row r="23" spans="1:20" ht="14.4">
      <c r="A23" s="88"/>
      <c r="B23" s="88"/>
      <c r="C23" s="250" t="s">
        <v>1051</v>
      </c>
      <c r="D23" s="157" t="s">
        <v>1022</v>
      </c>
      <c r="E23" s="498">
        <v>55994.8</v>
      </c>
      <c r="F23" s="132">
        <v>4</v>
      </c>
      <c r="G23" s="132">
        <f t="shared" si="1"/>
        <v>223979.2</v>
      </c>
      <c r="H23" s="157">
        <v>3</v>
      </c>
      <c r="I23" s="157">
        <f t="shared" si="0"/>
        <v>167984.40000000002</v>
      </c>
      <c r="J23" s="132">
        <v>55981</v>
      </c>
      <c r="K23" s="157">
        <v>3</v>
      </c>
      <c r="L23" s="132"/>
      <c r="M23" s="501"/>
      <c r="N23" s="137"/>
      <c r="O23" s="88"/>
      <c r="P23" s="231" t="s">
        <v>1052</v>
      </c>
      <c r="Q23" s="267"/>
      <c r="R23" s="267"/>
      <c r="S23" s="268"/>
      <c r="T23" s="88"/>
    </row>
    <row r="24" spans="1:20" ht="14.4">
      <c r="A24" s="88"/>
      <c r="B24" s="88"/>
      <c r="C24" s="250" t="s">
        <v>1053</v>
      </c>
      <c r="D24" s="272" t="s">
        <v>1019</v>
      </c>
      <c r="E24" s="498">
        <v>74629.7</v>
      </c>
      <c r="F24" s="132">
        <v>5</v>
      </c>
      <c r="G24" s="132">
        <f t="shared" si="1"/>
        <v>373148.5</v>
      </c>
      <c r="H24" s="157">
        <v>3.5</v>
      </c>
      <c r="I24" s="157">
        <f t="shared" si="0"/>
        <v>261203.94999999998</v>
      </c>
      <c r="J24" s="132">
        <v>73452</v>
      </c>
      <c r="K24" s="157">
        <v>4</v>
      </c>
      <c r="L24" s="222">
        <v>4</v>
      </c>
      <c r="M24" s="501"/>
      <c r="N24" s="137"/>
      <c r="O24" s="88"/>
      <c r="P24" s="270" t="s">
        <v>1054</v>
      </c>
      <c r="Q24" s="222" t="s">
        <v>1055</v>
      </c>
      <c r="R24" s="222">
        <v>5</v>
      </c>
      <c r="S24" s="222"/>
      <c r="T24" s="88"/>
    </row>
    <row r="25" spans="1:20" ht="14.4">
      <c r="A25" s="88"/>
      <c r="B25" s="88"/>
      <c r="C25" s="251" t="s">
        <v>1056</v>
      </c>
      <c r="D25" s="272" t="s">
        <v>1019</v>
      </c>
      <c r="E25" s="251"/>
      <c r="F25" s="273"/>
      <c r="G25" s="273"/>
      <c r="H25" s="273"/>
      <c r="I25" s="273"/>
      <c r="J25" s="273"/>
      <c r="K25" s="271"/>
      <c r="L25" s="271"/>
      <c r="M25" s="503"/>
      <c r="N25" s="274"/>
      <c r="O25" s="88"/>
      <c r="P25" s="270" t="s">
        <v>1057</v>
      </c>
      <c r="Q25" s="222" t="s">
        <v>1055</v>
      </c>
      <c r="R25" s="222"/>
      <c r="S25" s="222"/>
      <c r="T25" s="88"/>
    </row>
    <row r="26" spans="1:20" ht="14.4">
      <c r="A26" s="88"/>
      <c r="B26" s="88"/>
      <c r="C26" s="250" t="s">
        <v>1058</v>
      </c>
      <c r="D26" s="157" t="s">
        <v>1022</v>
      </c>
      <c r="E26" s="498">
        <v>45593.9</v>
      </c>
      <c r="F26" s="132">
        <v>4.5</v>
      </c>
      <c r="G26" s="132">
        <f t="shared" si="1"/>
        <v>205172.55000000002</v>
      </c>
      <c r="H26" s="157">
        <v>4</v>
      </c>
      <c r="I26" s="157">
        <f t="shared" si="0"/>
        <v>182375.6</v>
      </c>
      <c r="J26" s="132">
        <v>45956</v>
      </c>
      <c r="K26" s="157">
        <v>4</v>
      </c>
      <c r="L26" s="222">
        <v>4</v>
      </c>
      <c r="M26" s="501"/>
      <c r="N26" s="137"/>
      <c r="O26" s="88"/>
      <c r="P26" s="270" t="s">
        <v>1059</v>
      </c>
      <c r="Q26" s="222" t="s">
        <v>1055</v>
      </c>
      <c r="R26" s="222"/>
      <c r="S26" s="222"/>
      <c r="T26" s="88"/>
    </row>
    <row r="27" spans="1:20" ht="14.4">
      <c r="A27" s="88"/>
      <c r="B27" s="88"/>
      <c r="C27" s="250" t="s">
        <v>1060</v>
      </c>
      <c r="D27" s="157" t="s">
        <v>1047</v>
      </c>
      <c r="E27" s="498">
        <v>27467.3</v>
      </c>
      <c r="F27" s="132">
        <v>5.5</v>
      </c>
      <c r="G27" s="132">
        <f t="shared" si="1"/>
        <v>151070.15</v>
      </c>
      <c r="H27" s="157">
        <v>4.5</v>
      </c>
      <c r="I27" s="157">
        <f t="shared" si="0"/>
        <v>123602.84999999999</v>
      </c>
      <c r="J27" s="132">
        <v>24964</v>
      </c>
      <c r="K27" s="157">
        <v>4</v>
      </c>
      <c r="L27" s="222"/>
      <c r="M27" s="501"/>
      <c r="N27" s="156" t="s">
        <v>1014</v>
      </c>
      <c r="O27" s="88"/>
      <c r="P27" s="270" t="s">
        <v>1061</v>
      </c>
      <c r="Q27" s="222" t="s">
        <v>1055</v>
      </c>
      <c r="R27" s="222"/>
      <c r="S27" s="222"/>
      <c r="T27" s="88"/>
    </row>
    <row r="28" spans="1:20" ht="14.4">
      <c r="A28" s="88"/>
      <c r="B28" s="88"/>
      <c r="C28" s="250" t="s">
        <v>1062</v>
      </c>
      <c r="D28" s="272" t="s">
        <v>1019</v>
      </c>
      <c r="E28" s="498">
        <v>58214.5</v>
      </c>
      <c r="F28" s="132">
        <v>3.5</v>
      </c>
      <c r="G28" s="132">
        <f t="shared" si="1"/>
        <v>203750.75</v>
      </c>
      <c r="H28" s="157">
        <v>2.5</v>
      </c>
      <c r="I28" s="157">
        <f t="shared" si="0"/>
        <v>145536.25</v>
      </c>
      <c r="J28" s="132">
        <v>59267</v>
      </c>
      <c r="K28" s="157">
        <v>4</v>
      </c>
      <c r="L28" s="222">
        <v>5</v>
      </c>
      <c r="M28" s="501"/>
      <c r="N28" s="137"/>
      <c r="O28" s="88"/>
      <c r="P28" s="270" t="s">
        <v>1063</v>
      </c>
      <c r="Q28" s="222" t="s">
        <v>1055</v>
      </c>
      <c r="R28" s="222"/>
      <c r="S28" s="222"/>
      <c r="T28" s="88"/>
    </row>
    <row r="29" spans="1:20" ht="14.4">
      <c r="A29" s="88"/>
      <c r="B29" s="88"/>
      <c r="C29" s="278" t="s">
        <v>1064</v>
      </c>
      <c r="D29" s="279"/>
      <c r="E29" s="280">
        <f>SUM(E9:E28)</f>
        <v>653113.19999999995</v>
      </c>
      <c r="F29" s="281">
        <f>(E29-E16)/E29</f>
        <v>0.89028211342229802</v>
      </c>
      <c r="G29" s="282">
        <f>SUM(G9:G28)</f>
        <v>2730134.4</v>
      </c>
      <c r="H29" s="281">
        <f>(E29-E18)/E29</f>
        <v>0.95130155078782674</v>
      </c>
      <c r="I29" s="283">
        <f>SUM(I9:I28)</f>
        <v>2213533.9000000004</v>
      </c>
      <c r="J29" s="282">
        <f>SUM(J9:J28)</f>
        <v>670732</v>
      </c>
      <c r="K29" s="281">
        <f>J29/J29</f>
        <v>1</v>
      </c>
      <c r="L29" s="281"/>
      <c r="M29" s="504"/>
      <c r="N29" s="284"/>
      <c r="O29" s="88"/>
      <c r="P29" s="270" t="s">
        <v>1065</v>
      </c>
      <c r="Q29" s="222" t="s">
        <v>1055</v>
      </c>
      <c r="R29" s="222"/>
      <c r="S29" s="222"/>
      <c r="T29" s="88"/>
    </row>
    <row r="30" spans="1:20" ht="14.4">
      <c r="A30" s="88"/>
      <c r="B30" s="88"/>
      <c r="C30" s="278" t="s">
        <v>1066</v>
      </c>
      <c r="D30" s="278"/>
      <c r="E30" s="285"/>
      <c r="F30" s="286">
        <f>G29/(E29-E16)</f>
        <v>4.6953494251489793</v>
      </c>
      <c r="G30" s="287"/>
      <c r="H30" s="286">
        <f>I29/(E29-E18)</f>
        <v>3.5627021140575144</v>
      </c>
      <c r="I30" s="689"/>
      <c r="J30" s="689"/>
      <c r="K30" s="286">
        <v>4</v>
      </c>
      <c r="L30" s="288"/>
      <c r="M30" s="505"/>
      <c r="N30" s="284"/>
      <c r="O30" s="88"/>
      <c r="P30" s="506" t="s">
        <v>1067</v>
      </c>
      <c r="Q30" s="118" t="s">
        <v>1055</v>
      </c>
      <c r="R30" s="222">
        <v>6</v>
      </c>
      <c r="S30" s="222"/>
      <c r="T30" s="88"/>
    </row>
    <row r="31" spans="1:20" ht="14.4">
      <c r="A31" s="88"/>
      <c r="B31" s="88"/>
      <c r="C31" s="226" t="s">
        <v>756</v>
      </c>
      <c r="D31" s="227"/>
      <c r="E31" s="264"/>
      <c r="F31" s="264"/>
      <c r="G31" s="264"/>
      <c r="H31" s="265"/>
      <c r="I31" s="264"/>
      <c r="J31" s="264"/>
      <c r="K31" s="267"/>
      <c r="L31" s="267"/>
      <c r="M31" s="267"/>
      <c r="N31" s="507"/>
      <c r="O31" s="88"/>
      <c r="P31" s="270" t="s">
        <v>1068</v>
      </c>
      <c r="Q31" s="222" t="s">
        <v>1016</v>
      </c>
      <c r="R31" s="222">
        <v>6</v>
      </c>
      <c r="S31" s="222"/>
      <c r="T31" s="88"/>
    </row>
    <row r="32" spans="1:20" ht="14.4">
      <c r="A32" s="88"/>
      <c r="B32" s="88"/>
      <c r="C32" s="156" t="s">
        <v>1069</v>
      </c>
      <c r="D32" s="289" t="s">
        <v>1019</v>
      </c>
      <c r="E32" s="293">
        <v>7371.5</v>
      </c>
      <c r="F32" s="132">
        <v>4.5</v>
      </c>
      <c r="G32" s="132">
        <f t="shared" ref="G32:G35" si="2">F32*E32</f>
        <v>33171.75</v>
      </c>
      <c r="H32" s="157">
        <v>3.5</v>
      </c>
      <c r="I32" s="222">
        <f>H32*E32</f>
        <v>25800.25</v>
      </c>
      <c r="J32" s="118">
        <v>12589</v>
      </c>
      <c r="K32" s="157">
        <v>4</v>
      </c>
      <c r="L32" s="132"/>
      <c r="M32" s="501"/>
      <c r="N32" s="137" t="s">
        <v>1070</v>
      </c>
      <c r="O32" s="88"/>
      <c r="P32" s="270" t="s">
        <v>1071</v>
      </c>
      <c r="Q32" s="222" t="s">
        <v>1016</v>
      </c>
      <c r="R32" s="222"/>
      <c r="S32" s="222"/>
      <c r="T32" s="88"/>
    </row>
    <row r="33" spans="1:20" ht="14.4">
      <c r="A33" s="88"/>
      <c r="B33" s="88"/>
      <c r="C33" s="290" t="s">
        <v>1072</v>
      </c>
      <c r="D33" s="289" t="s">
        <v>1019</v>
      </c>
      <c r="E33" s="293">
        <v>28315.9</v>
      </c>
      <c r="F33" s="132">
        <v>5</v>
      </c>
      <c r="G33" s="132">
        <f t="shared" si="2"/>
        <v>141579.5</v>
      </c>
      <c r="H33" s="157">
        <v>5</v>
      </c>
      <c r="I33" s="222">
        <f>H33*E33</f>
        <v>141579.5</v>
      </c>
      <c r="J33" s="118">
        <v>33517</v>
      </c>
      <c r="K33" s="157">
        <v>4</v>
      </c>
      <c r="L33" s="291" t="s">
        <v>1073</v>
      </c>
      <c r="M33" s="508"/>
      <c r="N33" s="900" t="s">
        <v>1074</v>
      </c>
      <c r="O33" s="88"/>
      <c r="P33" s="270" t="s">
        <v>1075</v>
      </c>
      <c r="Q33" s="222" t="s">
        <v>1016</v>
      </c>
      <c r="R33" s="222"/>
      <c r="S33" s="222"/>
      <c r="T33" s="88"/>
    </row>
    <row r="34" spans="1:20" ht="14.4">
      <c r="A34" s="88"/>
      <c r="B34" s="88"/>
      <c r="C34" s="292" t="s">
        <v>1076</v>
      </c>
      <c r="D34" s="289" t="s">
        <v>1019</v>
      </c>
      <c r="E34" s="293">
        <v>8360.4</v>
      </c>
      <c r="F34" s="132">
        <v>5</v>
      </c>
      <c r="G34" s="132">
        <f t="shared" si="2"/>
        <v>41802</v>
      </c>
      <c r="H34" s="157">
        <v>5</v>
      </c>
      <c r="I34" s="222">
        <f>H34*E34</f>
        <v>41802</v>
      </c>
      <c r="J34" s="118">
        <v>10118</v>
      </c>
      <c r="K34" s="157">
        <v>4</v>
      </c>
      <c r="L34" s="222"/>
      <c r="M34" s="501"/>
      <c r="N34" s="901"/>
      <c r="O34" s="88"/>
      <c r="P34" s="270" t="s">
        <v>1077</v>
      </c>
      <c r="Q34" s="222" t="s">
        <v>1016</v>
      </c>
      <c r="R34" s="222"/>
      <c r="S34" s="222"/>
      <c r="T34" s="88"/>
    </row>
    <row r="35" spans="1:20" ht="14.4">
      <c r="A35" s="88"/>
      <c r="B35" s="88"/>
      <c r="C35" s="251" t="s">
        <v>1078</v>
      </c>
      <c r="D35" s="289" t="s">
        <v>1019</v>
      </c>
      <c r="E35" s="293">
        <v>732.1</v>
      </c>
      <c r="F35" s="132">
        <v>0</v>
      </c>
      <c r="G35" s="132">
        <f t="shared" si="2"/>
        <v>0</v>
      </c>
      <c r="H35" s="157">
        <v>4</v>
      </c>
      <c r="I35" s="222">
        <f>H35*E35</f>
        <v>2928.4</v>
      </c>
      <c r="J35" s="118">
        <v>4382</v>
      </c>
      <c r="K35" s="157">
        <v>4</v>
      </c>
      <c r="L35" s="291" t="s">
        <v>1073</v>
      </c>
      <c r="M35" s="501"/>
      <c r="N35" s="137" t="s">
        <v>1070</v>
      </c>
      <c r="O35" s="88"/>
      <c r="P35" s="270" t="s">
        <v>1079</v>
      </c>
      <c r="Q35" s="222" t="s">
        <v>1016</v>
      </c>
      <c r="R35" s="222"/>
      <c r="S35" s="222"/>
      <c r="T35" s="88"/>
    </row>
    <row r="36" spans="1:20" ht="14.4">
      <c r="A36" s="88"/>
      <c r="B36" s="88"/>
      <c r="C36" s="251" t="s">
        <v>1080</v>
      </c>
      <c r="D36" s="289" t="s">
        <v>1019</v>
      </c>
      <c r="E36" s="251"/>
      <c r="F36" s="273"/>
      <c r="G36" s="273"/>
      <c r="H36" s="273"/>
      <c r="I36" s="273"/>
      <c r="J36" s="273"/>
      <c r="K36" s="271"/>
      <c r="L36" s="271"/>
      <c r="M36" s="503"/>
      <c r="N36" s="271"/>
      <c r="O36" s="88"/>
      <c r="P36" s="270" t="s">
        <v>1081</v>
      </c>
      <c r="Q36" s="222" t="s">
        <v>1016</v>
      </c>
      <c r="R36" s="222"/>
      <c r="S36" s="222"/>
      <c r="T36" s="88"/>
    </row>
    <row r="37" spans="1:20" ht="14.4">
      <c r="A37" s="88"/>
      <c r="B37" s="88"/>
      <c r="C37" s="251" t="s">
        <v>1082</v>
      </c>
      <c r="D37" s="289" t="s">
        <v>1019</v>
      </c>
      <c r="E37" s="251"/>
      <c r="F37" s="273"/>
      <c r="G37" s="273"/>
      <c r="H37" s="273"/>
      <c r="I37" s="273"/>
      <c r="J37" s="273"/>
      <c r="K37" s="271"/>
      <c r="L37" s="271"/>
      <c r="M37" s="503"/>
      <c r="N37" s="271"/>
      <c r="O37" s="88"/>
      <c r="P37" s="270" t="s">
        <v>1083</v>
      </c>
      <c r="Q37" s="222" t="s">
        <v>1016</v>
      </c>
      <c r="R37" s="222">
        <v>5</v>
      </c>
      <c r="S37" s="222"/>
      <c r="T37" s="88"/>
    </row>
    <row r="38" spans="1:20" ht="14.4">
      <c r="A38" s="88"/>
      <c r="B38" s="88"/>
      <c r="C38" s="246" t="s">
        <v>1084</v>
      </c>
      <c r="D38" s="118" t="s">
        <v>1013</v>
      </c>
      <c r="E38" s="293">
        <v>7650.5</v>
      </c>
      <c r="F38" s="132">
        <v>4</v>
      </c>
      <c r="G38" s="132">
        <f t="shared" ref="G38:G40" si="3">F38*E38</f>
        <v>30602</v>
      </c>
      <c r="H38" s="157">
        <v>4.5</v>
      </c>
      <c r="I38" s="222">
        <f>H38*E38</f>
        <v>34427.25</v>
      </c>
      <c r="J38" s="118">
        <v>17513</v>
      </c>
      <c r="K38" s="157">
        <v>4</v>
      </c>
      <c r="L38" s="132"/>
      <c r="M38" s="501"/>
      <c r="N38" s="509"/>
      <c r="O38" s="88"/>
      <c r="P38" s="270" t="s">
        <v>1085</v>
      </c>
      <c r="Q38" s="222" t="s">
        <v>1016</v>
      </c>
      <c r="R38" s="222"/>
      <c r="S38" s="222"/>
      <c r="T38" s="88"/>
    </row>
    <row r="39" spans="1:20" ht="14.4">
      <c r="A39" s="88"/>
      <c r="B39" s="88"/>
      <c r="C39" s="246" t="s">
        <v>1086</v>
      </c>
      <c r="D39" s="118" t="s">
        <v>1013</v>
      </c>
      <c r="E39" s="118">
        <v>5665</v>
      </c>
      <c r="F39" s="132">
        <v>3.5</v>
      </c>
      <c r="G39" s="132">
        <f t="shared" si="3"/>
        <v>19827.5</v>
      </c>
      <c r="H39" s="157">
        <v>3.5</v>
      </c>
      <c r="I39" s="222">
        <f>H39*E39</f>
        <v>19827.5</v>
      </c>
      <c r="J39" s="118">
        <v>7668</v>
      </c>
      <c r="K39" s="157">
        <v>3</v>
      </c>
      <c r="L39" s="222">
        <v>5</v>
      </c>
      <c r="M39" s="501"/>
      <c r="N39" s="493"/>
      <c r="O39" s="88"/>
      <c r="P39" s="270" t="s">
        <v>1087</v>
      </c>
      <c r="Q39" s="222" t="s">
        <v>1016</v>
      </c>
      <c r="R39" s="222"/>
      <c r="S39" s="222"/>
      <c r="T39" s="88"/>
    </row>
    <row r="40" spans="1:20" ht="14.4">
      <c r="A40" s="88"/>
      <c r="B40" s="88"/>
      <c r="C40" s="156" t="s">
        <v>1088</v>
      </c>
      <c r="D40" s="222" t="s">
        <v>1019</v>
      </c>
      <c r="E40" s="293">
        <v>9924.5</v>
      </c>
      <c r="F40" s="132">
        <v>6</v>
      </c>
      <c r="G40" s="132">
        <f t="shared" si="3"/>
        <v>59547</v>
      </c>
      <c r="H40" s="157">
        <v>4.5</v>
      </c>
      <c r="I40" s="222">
        <f>H40*E40</f>
        <v>44660.25</v>
      </c>
      <c r="J40" s="118">
        <v>10071</v>
      </c>
      <c r="K40" s="157">
        <v>4</v>
      </c>
      <c r="L40" s="271"/>
      <c r="M40" s="501"/>
      <c r="N40" s="137" t="s">
        <v>1089</v>
      </c>
      <c r="O40" s="88"/>
      <c r="P40" s="270" t="s">
        <v>1090</v>
      </c>
      <c r="Q40" s="222" t="s">
        <v>1035</v>
      </c>
      <c r="R40" s="222"/>
      <c r="S40" s="222"/>
      <c r="T40" s="88"/>
    </row>
    <row r="41" spans="1:20" ht="14.4">
      <c r="A41" s="88"/>
      <c r="B41" s="88"/>
      <c r="C41" s="156" t="s">
        <v>1091</v>
      </c>
      <c r="D41" s="222" t="s">
        <v>1019</v>
      </c>
      <c r="E41" s="251"/>
      <c r="F41" s="273"/>
      <c r="G41" s="273"/>
      <c r="H41" s="273"/>
      <c r="I41" s="273"/>
      <c r="J41" s="273"/>
      <c r="K41" s="271"/>
      <c r="L41" s="291" t="s">
        <v>1092</v>
      </c>
      <c r="M41" s="501"/>
      <c r="N41" s="274"/>
      <c r="O41" s="88"/>
      <c r="P41" s="270" t="s">
        <v>1093</v>
      </c>
      <c r="Q41" s="222" t="s">
        <v>1035</v>
      </c>
      <c r="R41" s="222">
        <v>6</v>
      </c>
      <c r="S41" s="222"/>
      <c r="T41" s="88"/>
    </row>
    <row r="42" spans="1:20" ht="14.4">
      <c r="A42" s="88"/>
      <c r="B42" s="88"/>
      <c r="C42" s="156" t="s">
        <v>1094</v>
      </c>
      <c r="D42" s="222" t="s">
        <v>1019</v>
      </c>
      <c r="E42" s="293">
        <v>83392.399999999994</v>
      </c>
      <c r="F42" s="132">
        <v>5</v>
      </c>
      <c r="G42" s="132">
        <f t="shared" ref="G42" si="4">F42*E42</f>
        <v>416962</v>
      </c>
      <c r="H42" s="157">
        <v>5</v>
      </c>
      <c r="I42" s="222">
        <f>H42*E42</f>
        <v>416962</v>
      </c>
      <c r="J42" s="118">
        <v>84194</v>
      </c>
      <c r="K42" s="157">
        <v>4</v>
      </c>
      <c r="L42" s="132"/>
      <c r="M42" s="501"/>
      <c r="N42" s="137"/>
      <c r="O42" s="88"/>
      <c r="P42" s="270" t="s">
        <v>1095</v>
      </c>
      <c r="Q42" s="222" t="s">
        <v>1035</v>
      </c>
      <c r="R42" s="222"/>
      <c r="S42" s="222"/>
      <c r="T42" s="88"/>
    </row>
    <row r="43" spans="1:20" ht="14.4">
      <c r="A43" s="88"/>
      <c r="B43" s="88"/>
      <c r="C43" s="156" t="s">
        <v>1096</v>
      </c>
      <c r="D43" s="222" t="s">
        <v>1019</v>
      </c>
      <c r="E43" s="902">
        <v>26600.6</v>
      </c>
      <c r="F43" s="905">
        <v>5.5</v>
      </c>
      <c r="G43" s="906">
        <f>F43*E43</f>
        <v>146303.29999999999</v>
      </c>
      <c r="H43" s="909">
        <v>4.5</v>
      </c>
      <c r="I43" s="910">
        <f>H43*E43</f>
        <v>119702.7</v>
      </c>
      <c r="J43" s="118">
        <v>6259</v>
      </c>
      <c r="K43" s="157">
        <v>4</v>
      </c>
      <c r="L43" s="222">
        <v>5</v>
      </c>
      <c r="M43" s="510"/>
      <c r="N43" s="825" t="s">
        <v>1089</v>
      </c>
      <c r="O43" s="88"/>
      <c r="P43" s="270" t="s">
        <v>1097</v>
      </c>
      <c r="Q43" s="222" t="s">
        <v>1035</v>
      </c>
      <c r="R43" s="222"/>
      <c r="S43" s="222"/>
      <c r="T43" s="88"/>
    </row>
    <row r="44" spans="1:20" ht="14.4">
      <c r="A44" s="88"/>
      <c r="B44" s="88"/>
      <c r="C44" s="257" t="s">
        <v>1098</v>
      </c>
      <c r="D44" s="222" t="s">
        <v>1019</v>
      </c>
      <c r="E44" s="903"/>
      <c r="F44" s="905"/>
      <c r="G44" s="907"/>
      <c r="H44" s="909"/>
      <c r="I44" s="911"/>
      <c r="J44" s="118">
        <v>7564</v>
      </c>
      <c r="K44" s="157">
        <v>4</v>
      </c>
      <c r="L44" s="222">
        <v>5</v>
      </c>
      <c r="M44" s="511"/>
      <c r="N44" s="913"/>
      <c r="O44" s="88"/>
      <c r="P44" s="270" t="s">
        <v>1099</v>
      </c>
      <c r="Q44" s="222" t="s">
        <v>1035</v>
      </c>
      <c r="R44" s="222"/>
      <c r="S44" s="222"/>
      <c r="T44" s="88"/>
    </row>
    <row r="45" spans="1:20" ht="14.4">
      <c r="A45" s="88"/>
      <c r="B45" s="88"/>
      <c r="C45" s="257" t="s">
        <v>1100</v>
      </c>
      <c r="D45" s="222" t="s">
        <v>1019</v>
      </c>
      <c r="E45" s="904"/>
      <c r="F45" s="905"/>
      <c r="G45" s="908"/>
      <c r="H45" s="909"/>
      <c r="I45" s="912"/>
      <c r="J45" s="118">
        <v>10480</v>
      </c>
      <c r="K45" s="157">
        <v>4</v>
      </c>
      <c r="L45" s="222">
        <v>5</v>
      </c>
      <c r="M45" s="512"/>
      <c r="N45" s="914"/>
      <c r="O45" s="88"/>
      <c r="P45" s="270" t="s">
        <v>1101</v>
      </c>
      <c r="Q45" s="222" t="s">
        <v>1035</v>
      </c>
      <c r="R45" s="222"/>
      <c r="S45" s="222"/>
      <c r="T45" s="88"/>
    </row>
    <row r="46" spans="1:20" ht="14.4">
      <c r="A46" s="88"/>
      <c r="B46" s="88"/>
      <c r="C46" s="257" t="s">
        <v>1102</v>
      </c>
      <c r="D46" s="256" t="s">
        <v>1047</v>
      </c>
      <c r="E46" s="513">
        <v>2304.9</v>
      </c>
      <c r="F46" s="132">
        <v>4.5</v>
      </c>
      <c r="G46" s="132">
        <f t="shared" ref="G46:G48" si="5">F46*E46</f>
        <v>10372.050000000001</v>
      </c>
      <c r="H46" s="157">
        <v>4.5</v>
      </c>
      <c r="I46" s="222">
        <f>H46*E46</f>
        <v>10372.050000000001</v>
      </c>
      <c r="J46" s="513">
        <v>2735</v>
      </c>
      <c r="K46" s="157">
        <v>3</v>
      </c>
      <c r="L46" s="132"/>
      <c r="M46" s="514"/>
      <c r="N46" s="493"/>
      <c r="O46" s="88"/>
      <c r="P46" s="270" t="s">
        <v>1103</v>
      </c>
      <c r="Q46" s="222" t="s">
        <v>1035</v>
      </c>
      <c r="R46" s="222"/>
      <c r="S46" s="222"/>
      <c r="T46" s="88"/>
    </row>
    <row r="47" spans="1:20" ht="14.4">
      <c r="A47" s="88"/>
      <c r="B47" s="88"/>
      <c r="C47" s="257" t="s">
        <v>1104</v>
      </c>
      <c r="D47" s="256" t="s">
        <v>1047</v>
      </c>
      <c r="E47" s="513">
        <v>942.5</v>
      </c>
      <c r="F47" s="132">
        <v>4</v>
      </c>
      <c r="G47" s="132">
        <f t="shared" si="5"/>
        <v>3770</v>
      </c>
      <c r="H47" s="157">
        <v>1.5</v>
      </c>
      <c r="I47" s="222">
        <f>H47*E47</f>
        <v>1413.75</v>
      </c>
      <c r="J47" s="513">
        <v>2552.1</v>
      </c>
      <c r="K47" s="157">
        <v>1</v>
      </c>
      <c r="L47" s="132"/>
      <c r="M47" s="514"/>
      <c r="N47" s="493"/>
      <c r="O47" s="88"/>
      <c r="P47" s="270" t="s">
        <v>1105</v>
      </c>
      <c r="Q47" s="222" t="s">
        <v>1035</v>
      </c>
      <c r="R47" s="222"/>
      <c r="S47" s="222"/>
      <c r="T47" s="88"/>
    </row>
    <row r="48" spans="1:20" ht="14.4">
      <c r="A48" s="88"/>
      <c r="B48" s="88"/>
      <c r="C48" s="257" t="s">
        <v>1106</v>
      </c>
      <c r="D48" s="256" t="s">
        <v>1047</v>
      </c>
      <c r="E48" s="132">
        <v>15627</v>
      </c>
      <c r="F48" s="132">
        <v>5</v>
      </c>
      <c r="G48" s="132">
        <f t="shared" si="5"/>
        <v>78135</v>
      </c>
      <c r="H48" s="157">
        <v>4.5</v>
      </c>
      <c r="I48" s="222">
        <f>H48*E48</f>
        <v>70321.5</v>
      </c>
      <c r="J48" s="132">
        <v>16185</v>
      </c>
      <c r="K48" s="157">
        <v>2</v>
      </c>
      <c r="L48" s="132"/>
      <c r="M48" s="514"/>
      <c r="N48" s="493"/>
      <c r="O48" s="88"/>
      <c r="P48" s="270" t="s">
        <v>1107</v>
      </c>
      <c r="Q48" s="222" t="s">
        <v>1035</v>
      </c>
      <c r="R48" s="222"/>
      <c r="S48" s="222"/>
      <c r="T48" s="88"/>
    </row>
    <row r="49" spans="1:20" ht="14.4">
      <c r="A49" s="88"/>
      <c r="B49" s="88"/>
      <c r="C49" s="278" t="s">
        <v>1064</v>
      </c>
      <c r="D49" s="278"/>
      <c r="E49" s="294">
        <f>SUM(E32:E48)</f>
        <v>196887.3</v>
      </c>
      <c r="F49" s="281">
        <f>E49/E49</f>
        <v>1</v>
      </c>
      <c r="G49" s="294">
        <f>SUM(G32:G48)</f>
        <v>982072.10000000009</v>
      </c>
      <c r="H49" s="281">
        <f>G49/G49</f>
        <v>1</v>
      </c>
      <c r="I49" s="294">
        <f>SUM(I32:I48)</f>
        <v>929797.15</v>
      </c>
      <c r="J49" s="280">
        <f>SUM(J32:J48)</f>
        <v>225827.1</v>
      </c>
      <c r="K49" s="281">
        <f>J49/J49</f>
        <v>1</v>
      </c>
      <c r="L49" s="295"/>
      <c r="M49" s="515"/>
      <c r="N49" s="284"/>
      <c r="O49" s="88"/>
      <c r="P49" s="246" t="s">
        <v>1108</v>
      </c>
      <c r="Q49" s="118" t="s">
        <v>1035</v>
      </c>
      <c r="R49" s="118"/>
      <c r="S49" s="118"/>
      <c r="T49" s="88"/>
    </row>
    <row r="50" spans="1:20" ht="14.4">
      <c r="A50" s="88"/>
      <c r="B50" s="88"/>
      <c r="C50" s="278" t="s">
        <v>1066</v>
      </c>
      <c r="D50" s="278"/>
      <c r="E50" s="296"/>
      <c r="F50" s="283">
        <f>G49/E49</f>
        <v>4.987991099476706</v>
      </c>
      <c r="G50" s="288"/>
      <c r="H50" s="283">
        <f>I49/E49</f>
        <v>4.7224841317850368</v>
      </c>
      <c r="I50" s="288"/>
      <c r="J50" s="285"/>
      <c r="K50" s="283">
        <v>4</v>
      </c>
      <c r="L50" s="283"/>
      <c r="M50" s="505"/>
      <c r="N50" s="284"/>
      <c r="O50" s="88"/>
      <c r="P50" s="246" t="s">
        <v>1109</v>
      </c>
      <c r="Q50" s="118" t="s">
        <v>1035</v>
      </c>
      <c r="R50" s="118"/>
      <c r="S50" s="118"/>
      <c r="T50" s="88"/>
    </row>
    <row r="51" spans="1:20" ht="14.4">
      <c r="A51" s="88"/>
      <c r="B51" s="88"/>
      <c r="C51" s="156" t="s">
        <v>1110</v>
      </c>
      <c r="D51" s="156"/>
      <c r="E51" s="297"/>
      <c r="F51" s="298"/>
      <c r="G51" s="298"/>
      <c r="H51" s="298"/>
      <c r="I51" s="298"/>
      <c r="J51" s="298"/>
      <c r="K51" s="601"/>
      <c r="L51" s="157"/>
      <c r="M51" s="501"/>
      <c r="N51" s="137"/>
      <c r="O51" s="88"/>
      <c r="P51" s="246" t="s">
        <v>1111</v>
      </c>
      <c r="Q51" s="118" t="s">
        <v>1035</v>
      </c>
      <c r="R51" s="118"/>
      <c r="S51" s="118"/>
      <c r="T51" s="88"/>
    </row>
    <row r="52" spans="1:20" ht="14.4">
      <c r="A52" s="88"/>
      <c r="B52" s="88"/>
      <c r="C52" s="156" t="s">
        <v>1112</v>
      </c>
      <c r="D52" s="156"/>
      <c r="E52" s="298"/>
      <c r="F52" s="298"/>
      <c r="G52" s="298"/>
      <c r="H52" s="298"/>
      <c r="I52" s="298"/>
      <c r="J52" s="298"/>
      <c r="K52" s="601"/>
      <c r="L52" s="157"/>
      <c r="M52" s="501"/>
      <c r="N52" s="137"/>
      <c r="O52" s="221"/>
      <c r="P52" s="246" t="s">
        <v>1113</v>
      </c>
      <c r="Q52" s="118" t="s">
        <v>1035</v>
      </c>
      <c r="R52" s="118"/>
      <c r="S52" s="118"/>
      <c r="T52" s="88"/>
    </row>
    <row r="53" spans="1:20" ht="14.4">
      <c r="A53" s="88"/>
      <c r="B53" s="88"/>
      <c r="C53" s="156" t="s">
        <v>1114</v>
      </c>
      <c r="D53" s="156"/>
      <c r="E53" s="298"/>
      <c r="F53" s="298"/>
      <c r="G53" s="298"/>
      <c r="H53" s="298"/>
      <c r="I53" s="298"/>
      <c r="J53" s="298"/>
      <c r="K53" s="601"/>
      <c r="L53" s="157"/>
      <c r="M53" s="501"/>
      <c r="N53" s="137"/>
      <c r="O53" s="88"/>
      <c r="P53" s="246" t="s">
        <v>1115</v>
      </c>
      <c r="Q53" s="118" t="s">
        <v>1035</v>
      </c>
      <c r="R53" s="118"/>
      <c r="S53" s="118"/>
      <c r="T53" s="88"/>
    </row>
    <row r="54" spans="1:20" ht="14.4">
      <c r="A54" s="88"/>
      <c r="B54" s="88"/>
      <c r="C54" s="156" t="s">
        <v>1116</v>
      </c>
      <c r="D54" s="156"/>
      <c r="E54" s="298"/>
      <c r="F54" s="298"/>
      <c r="G54" s="298"/>
      <c r="H54" s="298"/>
      <c r="I54" s="298"/>
      <c r="J54" s="298"/>
      <c r="K54" s="601"/>
      <c r="L54" s="157"/>
      <c r="M54" s="501"/>
      <c r="N54" s="137"/>
      <c r="O54" s="88"/>
      <c r="P54" s="246" t="s">
        <v>1117</v>
      </c>
      <c r="Q54" s="118" t="s">
        <v>1013</v>
      </c>
      <c r="R54" s="118"/>
      <c r="S54" s="118"/>
      <c r="T54" s="88"/>
    </row>
    <row r="55" spans="1:20" ht="14.4">
      <c r="A55" s="88"/>
      <c r="B55" s="88"/>
      <c r="C55" s="156" t="s">
        <v>1118</v>
      </c>
      <c r="D55" s="156"/>
      <c r="E55" s="298"/>
      <c r="F55" s="298"/>
      <c r="G55" s="298"/>
      <c r="H55" s="298"/>
      <c r="I55" s="298"/>
      <c r="J55" s="298"/>
      <c r="K55" s="601"/>
      <c r="L55" s="291" t="s">
        <v>1119</v>
      </c>
      <c r="M55" s="501"/>
      <c r="N55" s="137"/>
      <c r="O55" s="88"/>
      <c r="P55" s="246" t="s">
        <v>1120</v>
      </c>
      <c r="Q55" s="118" t="s">
        <v>1013</v>
      </c>
      <c r="R55" s="118"/>
      <c r="S55" s="118"/>
      <c r="T55" s="88"/>
    </row>
    <row r="56" spans="1:20" ht="14.4">
      <c r="A56" s="88"/>
      <c r="B56" s="88"/>
      <c r="C56" s="270" t="s">
        <v>1121</v>
      </c>
      <c r="D56" s="270"/>
      <c r="E56" s="298"/>
      <c r="F56" s="298"/>
      <c r="G56" s="298"/>
      <c r="H56" s="298"/>
      <c r="I56" s="298"/>
      <c r="J56" s="298"/>
      <c r="K56" s="601"/>
      <c r="L56" s="291" t="s">
        <v>1122</v>
      </c>
      <c r="M56" s="501"/>
      <c r="N56" s="137"/>
      <c r="O56" s="88"/>
      <c r="P56" s="602" t="s">
        <v>1123</v>
      </c>
      <c r="Q56" s="118" t="s">
        <v>1013</v>
      </c>
      <c r="R56" s="118"/>
      <c r="S56" s="118"/>
      <c r="T56" s="88"/>
    </row>
    <row r="57" spans="1:20" ht="14.4">
      <c r="A57" s="88"/>
      <c r="B57" s="88"/>
      <c r="C57" s="156" t="s">
        <v>1124</v>
      </c>
      <c r="D57" s="156"/>
      <c r="E57" s="298"/>
      <c r="F57" s="298"/>
      <c r="G57" s="298"/>
      <c r="H57" s="298"/>
      <c r="I57" s="298"/>
      <c r="J57" s="298"/>
      <c r="K57" s="601"/>
      <c r="L57" s="157"/>
      <c r="M57" s="516" t="s">
        <v>1119</v>
      </c>
      <c r="N57" s="137"/>
      <c r="O57" s="88"/>
      <c r="P57" s="246" t="s">
        <v>1125</v>
      </c>
      <c r="Q57" s="118" t="s">
        <v>1013</v>
      </c>
      <c r="R57" s="118"/>
      <c r="S57" s="118"/>
      <c r="T57" s="88"/>
    </row>
    <row r="58" spans="1:20" ht="14.4">
      <c r="A58" s="88"/>
      <c r="B58" s="88"/>
      <c r="C58" s="156" t="s">
        <v>1126</v>
      </c>
      <c r="D58" s="156"/>
      <c r="E58" s="298"/>
      <c r="F58" s="298"/>
      <c r="G58" s="298"/>
      <c r="H58" s="298"/>
      <c r="I58" s="298"/>
      <c r="J58" s="298"/>
      <c r="K58" s="601"/>
      <c r="L58" s="157"/>
      <c r="M58" s="516"/>
      <c r="N58" s="137"/>
      <c r="O58" s="88"/>
      <c r="P58" s="246" t="s">
        <v>1127</v>
      </c>
      <c r="Q58" s="118" t="s">
        <v>1013</v>
      </c>
      <c r="R58" s="246"/>
      <c r="S58" s="246"/>
      <c r="T58" s="88"/>
    </row>
    <row r="59" spans="1:20" ht="14.4">
      <c r="A59" s="88"/>
      <c r="B59" s="88"/>
      <c r="C59" s="156" t="s">
        <v>1128</v>
      </c>
      <c r="D59" s="156"/>
      <c r="E59" s="298"/>
      <c r="F59" s="298"/>
      <c r="G59" s="298"/>
      <c r="H59" s="298"/>
      <c r="I59" s="298"/>
      <c r="J59" s="298"/>
      <c r="K59" s="601"/>
      <c r="L59" s="157"/>
      <c r="M59" s="516"/>
      <c r="N59" s="137"/>
      <c r="O59" s="88"/>
      <c r="P59" s="246" t="s">
        <v>1129</v>
      </c>
      <c r="Q59" s="118" t="s">
        <v>1013</v>
      </c>
      <c r="R59" s="246"/>
      <c r="S59" s="246"/>
      <c r="T59" s="88"/>
    </row>
    <row r="60" spans="1:20" ht="14.4">
      <c r="A60" s="88"/>
      <c r="B60" s="88"/>
      <c r="C60" s="156" t="s">
        <v>1130</v>
      </c>
      <c r="D60" s="156"/>
      <c r="E60" s="298"/>
      <c r="F60" s="298"/>
      <c r="G60" s="298"/>
      <c r="H60" s="298"/>
      <c r="I60" s="298"/>
      <c r="J60" s="298"/>
      <c r="K60" s="601"/>
      <c r="L60" s="157"/>
      <c r="M60" s="516"/>
      <c r="N60" s="137"/>
      <c r="O60" s="88"/>
      <c r="P60" s="278" t="s">
        <v>1064</v>
      </c>
      <c r="Q60" s="285"/>
      <c r="R60" s="295">
        <f>COUNT(R24:R59)/36</f>
        <v>0.1388888888888889</v>
      </c>
      <c r="S60" s="299"/>
      <c r="T60" s="88"/>
    </row>
    <row r="61" spans="1:20" ht="14.4">
      <c r="A61" s="88"/>
      <c r="B61" s="88"/>
      <c r="C61" s="156" t="s">
        <v>1131</v>
      </c>
      <c r="D61" s="156"/>
      <c r="E61" s="298"/>
      <c r="F61" s="298"/>
      <c r="G61" s="298"/>
      <c r="H61" s="298"/>
      <c r="I61" s="298"/>
      <c r="J61" s="298"/>
      <c r="K61" s="601"/>
      <c r="L61" s="157"/>
      <c r="M61" s="516"/>
      <c r="N61" s="137"/>
      <c r="O61" s="88"/>
      <c r="P61" s="88" t="s">
        <v>1132</v>
      </c>
      <c r="Q61" s="237"/>
      <c r="R61" s="237"/>
      <c r="S61" s="237"/>
      <c r="T61" s="88"/>
    </row>
    <row r="62" spans="1:20" ht="14.4">
      <c r="A62" s="88"/>
      <c r="B62" s="88"/>
      <c r="C62" s="156" t="s">
        <v>1133</v>
      </c>
      <c r="D62" s="156"/>
      <c r="E62" s="298"/>
      <c r="F62" s="298"/>
      <c r="G62" s="298"/>
      <c r="H62" s="298"/>
      <c r="I62" s="298"/>
      <c r="J62" s="298"/>
      <c r="K62" s="601"/>
      <c r="L62" s="157"/>
      <c r="M62" s="516"/>
      <c r="N62" s="137"/>
      <c r="O62" s="88"/>
      <c r="P62" s="88"/>
      <c r="Q62" s="237"/>
      <c r="R62" s="237"/>
      <c r="S62" s="237"/>
      <c r="T62" s="88"/>
    </row>
    <row r="63" spans="1:20" ht="14.4">
      <c r="A63" s="88"/>
      <c r="B63" s="88"/>
      <c r="C63" s="156" t="s">
        <v>1134</v>
      </c>
      <c r="D63" s="156"/>
      <c r="E63" s="298"/>
      <c r="F63" s="298"/>
      <c r="G63" s="298"/>
      <c r="H63" s="298"/>
      <c r="I63" s="298"/>
      <c r="J63" s="298"/>
      <c r="K63" s="601"/>
      <c r="L63" s="157"/>
      <c r="M63" s="516"/>
      <c r="N63" s="137"/>
      <c r="O63" s="88"/>
      <c r="Q63" s="237"/>
      <c r="R63" s="237"/>
      <c r="S63" s="237"/>
      <c r="T63" s="88"/>
    </row>
    <row r="64" spans="1:20" ht="14.4">
      <c r="A64" s="88"/>
      <c r="B64" s="88"/>
      <c r="C64" s="270" t="s">
        <v>1135</v>
      </c>
      <c r="D64" s="270"/>
      <c r="E64" s="298"/>
      <c r="F64" s="298"/>
      <c r="G64" s="298"/>
      <c r="H64" s="298"/>
      <c r="I64" s="298"/>
      <c r="J64" s="298"/>
      <c r="K64" s="601"/>
      <c r="L64" s="118" t="s">
        <v>1136</v>
      </c>
      <c r="M64" s="516" t="s">
        <v>1119</v>
      </c>
      <c r="N64" s="137"/>
      <c r="O64" s="88"/>
      <c r="P64" s="130"/>
      <c r="Q64" s="237"/>
      <c r="R64" s="237"/>
      <c r="S64" s="237"/>
      <c r="T64" s="88"/>
    </row>
    <row r="65" spans="1:20" ht="14.4">
      <c r="A65" s="88"/>
      <c r="B65" s="88"/>
      <c r="C65" s="270" t="s">
        <v>1137</v>
      </c>
      <c r="D65" s="270"/>
      <c r="E65" s="298"/>
      <c r="F65" s="298"/>
      <c r="G65" s="298"/>
      <c r="H65" s="298"/>
      <c r="I65" s="298"/>
      <c r="J65" s="298"/>
      <c r="K65" s="601"/>
      <c r="M65" s="757" t="s">
        <v>1138</v>
      </c>
      <c r="N65" s="137"/>
      <c r="O65" s="88"/>
      <c r="P65" s="130"/>
      <c r="Q65" s="237"/>
      <c r="R65" s="237"/>
      <c r="S65" s="237"/>
      <c r="T65" s="88"/>
    </row>
    <row r="66" spans="1:20" ht="14.4">
      <c r="A66" s="88"/>
      <c r="B66" s="88"/>
      <c r="C66" s="270" t="s">
        <v>1139</v>
      </c>
      <c r="D66" s="270"/>
      <c r="E66" s="298"/>
      <c r="F66" s="298"/>
      <c r="G66" s="298"/>
      <c r="H66" s="298"/>
      <c r="I66" s="298"/>
      <c r="J66" s="298"/>
      <c r="K66" s="601"/>
      <c r="L66" s="157"/>
      <c r="M66" s="516"/>
      <c r="N66" s="137"/>
      <c r="O66" s="88"/>
      <c r="P66" s="88"/>
      <c r="Q66" s="237"/>
      <c r="R66" s="237"/>
      <c r="S66" s="237"/>
      <c r="T66" s="88"/>
    </row>
    <row r="67" spans="1:20" ht="14.4">
      <c r="A67" s="88"/>
      <c r="B67" s="88"/>
      <c r="C67" s="270" t="s">
        <v>1140</v>
      </c>
      <c r="D67" s="270"/>
      <c r="E67" s="298"/>
      <c r="F67" s="298"/>
      <c r="G67" s="298"/>
      <c r="H67" s="298"/>
      <c r="I67" s="298"/>
      <c r="J67" s="298"/>
      <c r="K67" s="601"/>
      <c r="L67" s="157"/>
      <c r="M67" s="516" t="s">
        <v>1119</v>
      </c>
      <c r="N67" s="137"/>
      <c r="O67" s="88"/>
      <c r="P67" s="88"/>
      <c r="Q67" s="237"/>
      <c r="R67" s="237"/>
      <c r="S67" s="237"/>
      <c r="T67" s="88"/>
    </row>
    <row r="68" spans="1:20" ht="14.4">
      <c r="A68" s="88"/>
      <c r="B68" s="88"/>
      <c r="C68" s="270" t="s">
        <v>1141</v>
      </c>
      <c r="D68" s="270"/>
      <c r="E68" s="298"/>
      <c r="F68" s="298"/>
      <c r="G68" s="298"/>
      <c r="H68" s="298"/>
      <c r="I68" s="298"/>
      <c r="J68" s="298"/>
      <c r="K68" s="601"/>
      <c r="L68" s="157"/>
      <c r="M68" s="516"/>
      <c r="N68" s="137"/>
      <c r="O68" s="88"/>
      <c r="P68" s="88"/>
      <c r="Q68" s="237"/>
      <c r="R68" s="237"/>
      <c r="S68" s="237"/>
      <c r="T68" s="88"/>
    </row>
    <row r="69" spans="1:20" ht="14.4">
      <c r="A69" s="88"/>
      <c r="B69" s="88"/>
      <c r="C69" s="270" t="s">
        <v>1142</v>
      </c>
      <c r="D69" s="270"/>
      <c r="E69" s="298"/>
      <c r="F69" s="298"/>
      <c r="G69" s="298"/>
      <c r="H69" s="298"/>
      <c r="I69" s="298"/>
      <c r="J69" s="298"/>
      <c r="K69" s="601"/>
      <c r="L69" s="157"/>
      <c r="M69" s="516" t="s">
        <v>1119</v>
      </c>
      <c r="N69" s="137"/>
      <c r="O69" s="88"/>
      <c r="P69" s="88"/>
      <c r="Q69" s="237"/>
      <c r="R69" s="237"/>
      <c r="S69" s="237"/>
      <c r="T69" s="88"/>
    </row>
    <row r="70" spans="1:20" ht="14.4">
      <c r="A70" s="88"/>
      <c r="B70" s="88"/>
      <c r="C70" s="270" t="s">
        <v>1143</v>
      </c>
      <c r="D70" s="270"/>
      <c r="E70" s="298"/>
      <c r="F70" s="298"/>
      <c r="G70" s="298"/>
      <c r="H70" s="298"/>
      <c r="I70" s="298"/>
      <c r="J70" s="298"/>
      <c r="K70" s="601"/>
      <c r="L70" s="157"/>
      <c r="M70" s="516"/>
      <c r="N70" s="137"/>
      <c r="O70" s="88"/>
      <c r="P70" s="88"/>
      <c r="Q70" s="237"/>
      <c r="R70" s="237"/>
      <c r="S70" s="237"/>
      <c r="T70" s="88"/>
    </row>
    <row r="71" spans="1:20" ht="14.4">
      <c r="A71" s="88"/>
      <c r="B71" s="88"/>
      <c r="C71" s="270" t="s">
        <v>1144</v>
      </c>
      <c r="D71" s="270"/>
      <c r="E71" s="297"/>
      <c r="F71" s="298"/>
      <c r="G71" s="298"/>
      <c r="H71" s="298"/>
      <c r="I71" s="298"/>
      <c r="J71" s="298"/>
      <c r="K71" s="601"/>
      <c r="L71" s="157"/>
      <c r="M71" s="516"/>
      <c r="N71" s="137"/>
      <c r="O71" s="88"/>
      <c r="P71" s="88"/>
      <c r="Q71" s="237"/>
      <c r="R71" s="237"/>
      <c r="S71" s="237"/>
      <c r="T71" s="88"/>
    </row>
    <row r="72" spans="1:20" ht="14.4">
      <c r="A72" s="88"/>
      <c r="B72" s="88"/>
      <c r="C72" s="270" t="s">
        <v>1145</v>
      </c>
      <c r="D72" s="270"/>
      <c r="E72" s="298"/>
      <c r="F72" s="298"/>
      <c r="G72" s="298"/>
      <c r="H72" s="298"/>
      <c r="I72" s="298"/>
      <c r="J72" s="298"/>
      <c r="K72" s="601"/>
      <c r="L72" s="157"/>
      <c r="M72" s="517"/>
      <c r="N72" s="137"/>
      <c r="O72" s="88"/>
      <c r="P72" s="88"/>
      <c r="Q72" s="237"/>
      <c r="R72" s="237"/>
      <c r="S72" s="237"/>
      <c r="T72" s="88"/>
    </row>
    <row r="73" spans="1:20" ht="14.4">
      <c r="A73" s="88"/>
      <c r="B73" s="88"/>
      <c r="C73" s="270" t="s">
        <v>1146</v>
      </c>
      <c r="D73" s="270"/>
      <c r="E73" s="298"/>
      <c r="F73" s="298"/>
      <c r="G73" s="298"/>
      <c r="H73" s="298"/>
      <c r="I73" s="298"/>
      <c r="J73" s="298"/>
      <c r="K73" s="601"/>
      <c r="L73" s="157"/>
      <c r="M73" s="518" t="s">
        <v>1119</v>
      </c>
      <c r="N73" s="137"/>
      <c r="O73" s="88"/>
      <c r="P73" s="88"/>
      <c r="Q73" s="237"/>
      <c r="R73" s="237"/>
      <c r="S73" s="237"/>
      <c r="T73" s="88"/>
    </row>
    <row r="74" spans="1:20" ht="14.4">
      <c r="A74" s="88"/>
      <c r="B74" s="88"/>
      <c r="C74" s="270" t="s">
        <v>1147</v>
      </c>
      <c r="D74" s="270"/>
      <c r="E74" s="298"/>
      <c r="F74" s="298"/>
      <c r="G74" s="298"/>
      <c r="H74" s="298"/>
      <c r="I74" s="298"/>
      <c r="J74" s="298"/>
      <c r="K74" s="601"/>
      <c r="L74" s="222"/>
      <c r="M74" s="501" t="s">
        <v>1119</v>
      </c>
      <c r="N74" s="156"/>
      <c r="O74" s="88"/>
      <c r="P74" s="269"/>
      <c r="Q74" s="237"/>
      <c r="R74" s="237"/>
      <c r="S74" s="237"/>
      <c r="T74" s="88"/>
    </row>
    <row r="75" spans="1:20" ht="14.4">
      <c r="A75" s="88"/>
      <c r="B75" s="88"/>
      <c r="C75" s="270" t="s">
        <v>1148</v>
      </c>
      <c r="D75" s="270"/>
      <c r="E75" s="298"/>
      <c r="F75" s="298"/>
      <c r="G75" s="298"/>
      <c r="H75" s="298"/>
      <c r="I75" s="298"/>
      <c r="J75" s="298"/>
      <c r="K75" s="601"/>
      <c r="L75" s="222"/>
      <c r="M75" s="501"/>
      <c r="N75" s="156"/>
      <c r="O75" s="88"/>
      <c r="P75" s="88"/>
      <c r="Q75" s="237"/>
      <c r="R75" s="237"/>
      <c r="S75" s="237"/>
      <c r="T75" s="88"/>
    </row>
    <row r="76" spans="1:20" ht="14.4">
      <c r="A76" s="88"/>
      <c r="B76" s="88"/>
      <c r="C76" s="270" t="s">
        <v>1149</v>
      </c>
      <c r="D76" s="270"/>
      <c r="E76" s="298"/>
      <c r="F76" s="298"/>
      <c r="G76" s="298"/>
      <c r="H76" s="298"/>
      <c r="I76" s="298"/>
      <c r="J76" s="298"/>
      <c r="K76" s="601"/>
      <c r="L76" s="222"/>
      <c r="M76" s="501"/>
      <c r="N76" s="156"/>
      <c r="O76" s="88"/>
      <c r="P76" s="88"/>
      <c r="Q76" s="237"/>
      <c r="R76" s="237"/>
      <c r="S76" s="237"/>
      <c r="T76" s="88"/>
    </row>
    <row r="77" spans="1:20" ht="14.4">
      <c r="A77" s="88"/>
      <c r="B77" s="88"/>
      <c r="C77" s="270" t="s">
        <v>1150</v>
      </c>
      <c r="D77" s="270"/>
      <c r="E77" s="298"/>
      <c r="F77" s="298"/>
      <c r="G77" s="298"/>
      <c r="H77" s="298"/>
      <c r="I77" s="298"/>
      <c r="J77" s="298"/>
      <c r="K77" s="601"/>
      <c r="L77" s="222"/>
      <c r="M77" s="501"/>
      <c r="N77" s="156"/>
      <c r="O77" s="88"/>
      <c r="P77" s="88"/>
      <c r="Q77" s="237"/>
      <c r="R77" s="237"/>
      <c r="S77" s="237"/>
      <c r="T77" s="88"/>
    </row>
    <row r="78" spans="1:20" ht="14.4">
      <c r="A78" s="88"/>
      <c r="B78" s="88"/>
      <c r="C78" s="226" t="s">
        <v>1151</v>
      </c>
      <c r="D78" s="227"/>
      <c r="E78" s="264"/>
      <c r="F78" s="264"/>
      <c r="G78" s="264"/>
      <c r="H78" s="265"/>
      <c r="I78" s="264"/>
      <c r="J78" s="264"/>
      <c r="K78" s="267"/>
      <c r="L78" s="267"/>
      <c r="M78" s="267"/>
      <c r="N78" s="519"/>
      <c r="O78" s="88"/>
      <c r="P78" s="88"/>
      <c r="Q78" s="237"/>
      <c r="R78" s="237"/>
      <c r="S78" s="237"/>
      <c r="T78" s="88"/>
    </row>
    <row r="79" spans="1:20" ht="14.4">
      <c r="A79" s="88"/>
      <c r="B79" s="88"/>
      <c r="C79" s="257" t="s">
        <v>1152</v>
      </c>
      <c r="D79" s="257"/>
      <c r="E79" s="156"/>
      <c r="F79" s="293">
        <v>5</v>
      </c>
      <c r="G79" s="156"/>
      <c r="H79" s="246"/>
      <c r="I79" s="156"/>
      <c r="J79" s="156"/>
      <c r="K79" s="51">
        <v>3</v>
      </c>
      <c r="L79" s="222"/>
      <c r="M79" s="222"/>
      <c r="N79" s="156" t="s">
        <v>1153</v>
      </c>
      <c r="O79" s="88"/>
      <c r="P79" s="88"/>
      <c r="Q79" s="237"/>
      <c r="R79" s="237"/>
      <c r="S79" s="237"/>
      <c r="T79" s="88"/>
    </row>
    <row r="80" spans="1:20" ht="14.4">
      <c r="A80" s="88"/>
      <c r="B80" s="88"/>
      <c r="C80" s="257" t="s">
        <v>1154</v>
      </c>
      <c r="D80" s="257"/>
      <c r="E80" s="156"/>
      <c r="F80" s="159">
        <v>5.5</v>
      </c>
      <c r="G80" s="246"/>
      <c r="H80" s="246"/>
      <c r="I80" s="156"/>
      <c r="J80" s="156"/>
      <c r="K80" s="222"/>
      <c r="L80" s="222"/>
      <c r="M80" s="222"/>
      <c r="N80" s="156" t="s">
        <v>1153</v>
      </c>
      <c r="O80" s="88"/>
      <c r="P80" s="88"/>
      <c r="Q80" s="237"/>
      <c r="R80" s="237"/>
      <c r="S80" s="237"/>
      <c r="T80" s="88"/>
    </row>
    <row r="81" spans="1:20" ht="14.4">
      <c r="A81" s="88"/>
      <c r="B81" s="88"/>
      <c r="C81" s="257" t="s">
        <v>1155</v>
      </c>
      <c r="D81" s="257"/>
      <c r="E81" s="156"/>
      <c r="F81" s="118">
        <v>4.5</v>
      </c>
      <c r="G81" s="246"/>
      <c r="H81" s="246"/>
      <c r="I81" s="156"/>
      <c r="J81" s="156"/>
      <c r="K81" s="222"/>
      <c r="L81" s="222"/>
      <c r="M81" s="222"/>
      <c r="N81" s="156" t="s">
        <v>1014</v>
      </c>
      <c r="O81" s="88"/>
      <c r="P81" s="88"/>
      <c r="Q81" s="237"/>
      <c r="R81" s="237"/>
      <c r="S81" s="237"/>
      <c r="T81" s="88"/>
    </row>
    <row r="82" spans="1:20" ht="14.4">
      <c r="A82" s="88"/>
      <c r="B82" s="88"/>
      <c r="C82" s="257" t="s">
        <v>1156</v>
      </c>
      <c r="D82" s="257"/>
      <c r="E82" s="156"/>
      <c r="F82" s="293">
        <v>5</v>
      </c>
      <c r="G82" s="246"/>
      <c r="H82" s="246"/>
      <c r="I82" s="156"/>
      <c r="J82" s="156"/>
      <c r="K82" s="222"/>
      <c r="L82" s="222"/>
      <c r="M82" s="222"/>
      <c r="N82" s="156" t="s">
        <v>1153</v>
      </c>
      <c r="O82" s="88"/>
      <c r="P82" s="88"/>
      <c r="Q82" s="237"/>
      <c r="R82" s="237"/>
      <c r="S82" s="237"/>
      <c r="T82" s="88"/>
    </row>
    <row r="83" spans="1:20" ht="14.4">
      <c r="A83" s="88"/>
      <c r="B83" s="88"/>
      <c r="C83" s="88"/>
      <c r="D83" s="88"/>
      <c r="E83" s="88"/>
      <c r="F83" s="88"/>
      <c r="G83" s="88"/>
      <c r="H83" s="88"/>
      <c r="I83" s="88"/>
      <c r="J83" s="88"/>
      <c r="K83" s="237"/>
      <c r="L83" s="237"/>
      <c r="M83" s="237"/>
      <c r="N83" s="102"/>
      <c r="O83" s="88"/>
      <c r="P83" s="88"/>
      <c r="Q83" s="237"/>
      <c r="R83" s="237"/>
      <c r="S83" s="237"/>
      <c r="T83" s="88"/>
    </row>
    <row r="84" spans="1:20" ht="14.4">
      <c r="A84" s="88"/>
      <c r="B84" s="88"/>
      <c r="C84" s="88"/>
      <c r="D84" s="88"/>
      <c r="E84" s="88"/>
      <c r="F84" s="88"/>
      <c r="G84" s="88"/>
      <c r="H84" s="88"/>
      <c r="I84" s="88"/>
      <c r="J84" s="88"/>
      <c r="K84" s="237"/>
      <c r="L84" s="237"/>
      <c r="M84" s="237"/>
      <c r="N84" s="102"/>
      <c r="O84" s="88"/>
      <c r="P84" s="88"/>
      <c r="Q84" s="237"/>
      <c r="R84" s="237"/>
      <c r="S84" s="237"/>
      <c r="T84" s="88"/>
    </row>
    <row r="85" spans="1:20" ht="14.4">
      <c r="A85" s="88"/>
      <c r="B85" s="88">
        <v>1</v>
      </c>
      <c r="C85" s="88" t="s">
        <v>1157</v>
      </c>
      <c r="D85" s="88"/>
      <c r="E85" s="88"/>
      <c r="F85" s="88"/>
      <c r="G85" s="88"/>
      <c r="H85" s="88"/>
      <c r="I85" s="88"/>
      <c r="J85" s="88"/>
      <c r="K85" s="237"/>
      <c r="L85" s="237"/>
      <c r="M85" s="237"/>
      <c r="N85" s="102"/>
      <c r="O85" s="88"/>
      <c r="P85" s="88"/>
      <c r="Q85" s="237"/>
      <c r="R85" s="237"/>
      <c r="S85" s="237"/>
      <c r="T85" s="88"/>
    </row>
    <row r="86" spans="1:20" ht="14.4">
      <c r="A86" s="88"/>
      <c r="B86" s="88">
        <v>2</v>
      </c>
      <c r="C86" s="88" t="s">
        <v>1158</v>
      </c>
      <c r="D86" s="88"/>
      <c r="E86" s="88"/>
      <c r="F86" s="88"/>
      <c r="G86" s="88"/>
      <c r="H86" s="88"/>
      <c r="I86" s="88"/>
      <c r="J86" s="88"/>
      <c r="K86" s="237"/>
      <c r="L86" s="237"/>
      <c r="M86" s="237"/>
      <c r="N86" s="102"/>
      <c r="O86" s="88"/>
      <c r="P86" s="88"/>
      <c r="Q86" s="237"/>
      <c r="R86" s="237"/>
      <c r="S86" s="237"/>
      <c r="T86" s="88"/>
    </row>
    <row r="87" spans="1:20" ht="14.4">
      <c r="A87" s="88"/>
      <c r="B87" s="88">
        <v>3</v>
      </c>
      <c r="C87" s="88" t="s">
        <v>1159</v>
      </c>
      <c r="D87" s="88"/>
      <c r="E87" s="88"/>
      <c r="F87" s="88"/>
      <c r="G87" s="88"/>
      <c r="H87" s="88"/>
      <c r="I87" s="88"/>
      <c r="J87" s="88"/>
      <c r="K87" s="237"/>
      <c r="L87" s="237"/>
      <c r="M87" s="237"/>
      <c r="N87" s="102"/>
      <c r="O87" s="88"/>
      <c r="P87" s="88"/>
      <c r="Q87" s="237"/>
      <c r="R87" s="237"/>
      <c r="S87" s="237"/>
      <c r="T87" s="88"/>
    </row>
    <row r="88" spans="1:20" ht="14.4">
      <c r="A88" s="88"/>
      <c r="B88" s="88">
        <v>4</v>
      </c>
      <c r="C88" s="88" t="s">
        <v>1160</v>
      </c>
      <c r="D88" s="88"/>
      <c r="E88" s="88"/>
      <c r="F88" s="88"/>
      <c r="G88" s="88"/>
      <c r="H88" s="88"/>
      <c r="I88" s="88"/>
      <c r="J88" s="88"/>
      <c r="K88" s="237"/>
      <c r="L88" s="237"/>
      <c r="M88" s="237"/>
      <c r="N88" s="102"/>
      <c r="O88" s="88"/>
      <c r="P88" s="88"/>
      <c r="Q88" s="237"/>
      <c r="R88" s="237"/>
      <c r="S88" s="237"/>
      <c r="T88" s="88"/>
    </row>
    <row r="89" spans="1:20" ht="14.4">
      <c r="A89" s="88"/>
      <c r="B89" s="88">
        <v>5</v>
      </c>
      <c r="C89" s="88" t="s">
        <v>1161</v>
      </c>
      <c r="D89" s="88"/>
      <c r="E89" s="88"/>
      <c r="F89" s="88"/>
      <c r="G89" s="88"/>
      <c r="H89" s="88"/>
      <c r="I89" s="88"/>
      <c r="J89" s="88"/>
      <c r="K89" s="237"/>
      <c r="L89" s="237"/>
      <c r="M89" s="237"/>
      <c r="N89" s="102"/>
      <c r="O89" s="88"/>
      <c r="P89" s="88"/>
      <c r="Q89" s="237"/>
      <c r="R89" s="237"/>
      <c r="S89" s="237"/>
      <c r="T89" s="88"/>
    </row>
    <row r="90" spans="1:20" ht="14.4">
      <c r="A90" s="88"/>
      <c r="B90" s="88">
        <v>6</v>
      </c>
      <c r="C90" s="88" t="s">
        <v>1162</v>
      </c>
      <c r="D90" s="88"/>
      <c r="E90" s="88"/>
      <c r="F90" s="88"/>
      <c r="G90" s="88"/>
      <c r="H90" s="88"/>
      <c r="I90" s="88"/>
      <c r="J90" s="88"/>
      <c r="K90" s="237"/>
      <c r="L90" s="237"/>
      <c r="M90" s="237"/>
      <c r="N90" s="102"/>
      <c r="O90" s="88"/>
      <c r="P90" s="88"/>
      <c r="Q90" s="237"/>
      <c r="R90" s="237"/>
      <c r="S90" s="237"/>
      <c r="T90" s="88"/>
    </row>
    <row r="91" spans="1:20" ht="14.4">
      <c r="A91" s="88"/>
      <c r="B91" s="88">
        <v>7</v>
      </c>
      <c r="C91" s="88" t="s">
        <v>1163</v>
      </c>
      <c r="D91" s="88"/>
      <c r="E91" s="88"/>
      <c r="F91" s="88"/>
      <c r="G91" s="88"/>
      <c r="H91" s="88"/>
      <c r="I91" s="88"/>
      <c r="J91" s="88"/>
      <c r="K91" s="237"/>
      <c r="L91" s="237"/>
      <c r="M91" s="237"/>
      <c r="N91" s="102"/>
      <c r="O91" s="88"/>
      <c r="P91" s="88"/>
      <c r="Q91" s="237"/>
      <c r="R91" s="237"/>
      <c r="S91" s="237"/>
      <c r="T91" s="88"/>
    </row>
    <row r="92" spans="1:20" ht="14.4">
      <c r="A92" s="88"/>
      <c r="B92" s="88">
        <v>8</v>
      </c>
      <c r="C92" s="88" t="s">
        <v>1164</v>
      </c>
      <c r="D92" s="520"/>
      <c r="E92" s="520"/>
      <c r="F92" s="520"/>
      <c r="G92" s="520"/>
      <c r="H92" s="520"/>
      <c r="I92" s="520"/>
      <c r="J92" s="520"/>
      <c r="K92" s="521"/>
      <c r="L92" s="521"/>
      <c r="M92" s="521"/>
      <c r="N92" s="522"/>
      <c r="O92" s="88"/>
      <c r="P92" s="88"/>
      <c r="Q92" s="237"/>
      <c r="R92" s="237"/>
      <c r="S92" s="237"/>
      <c r="T92" s="88"/>
    </row>
    <row r="93" spans="1:20" ht="14.4">
      <c r="A93" s="88"/>
      <c r="B93" s="88"/>
      <c r="C93" s="88"/>
      <c r="D93" s="88"/>
      <c r="E93" s="88"/>
      <c r="F93" s="88"/>
      <c r="G93" s="88"/>
      <c r="H93" s="88"/>
      <c r="I93" s="88"/>
      <c r="J93" s="88"/>
      <c r="K93" s="237"/>
      <c r="L93" s="237"/>
      <c r="M93" s="237"/>
      <c r="N93" s="102"/>
      <c r="O93" s="88"/>
      <c r="P93" s="88"/>
      <c r="Q93" s="237"/>
      <c r="R93" s="237"/>
      <c r="S93" s="237"/>
    </row>
    <row r="94" spans="1:20" ht="14.4">
      <c r="A94" s="88"/>
      <c r="B94" s="88"/>
      <c r="C94" s="88"/>
      <c r="D94" s="88"/>
      <c r="E94" s="88"/>
      <c r="F94" s="88"/>
      <c r="G94" s="88"/>
      <c r="H94" s="88"/>
      <c r="I94" s="88"/>
      <c r="J94" s="88"/>
      <c r="K94" s="237"/>
      <c r="L94" s="237"/>
      <c r="M94" s="237"/>
      <c r="N94" s="102"/>
      <c r="O94" s="88"/>
      <c r="P94" s="88"/>
      <c r="Q94" s="237"/>
      <c r="R94" s="237"/>
      <c r="S94" s="237"/>
      <c r="T94" s="88"/>
    </row>
    <row r="95" spans="1:20" ht="14.4" hidden="1">
      <c r="A95" s="88"/>
      <c r="B95" s="88"/>
      <c r="C95" s="88" t="s">
        <v>1165</v>
      </c>
      <c r="D95" s="88"/>
      <c r="E95" s="88"/>
      <c r="F95" s="88"/>
      <c r="G95" s="88"/>
      <c r="H95" s="88"/>
      <c r="I95" s="88"/>
      <c r="J95" s="88"/>
      <c r="O95" s="88"/>
      <c r="P95" s="237"/>
      <c r="Q95" s="237"/>
      <c r="R95" s="237"/>
      <c r="S95" s="88"/>
      <c r="T95" s="88"/>
    </row>
    <row r="96" spans="1:20" ht="14.4" hidden="1">
      <c r="A96" s="88"/>
      <c r="B96" s="88"/>
      <c r="C96" s="88" t="s">
        <v>1166</v>
      </c>
      <c r="D96" s="88" t="s">
        <v>1167</v>
      </c>
      <c r="E96" s="88"/>
      <c r="F96" s="88"/>
      <c r="G96" s="88"/>
      <c r="H96" s="88"/>
      <c r="I96" s="88"/>
      <c r="J96" s="88"/>
      <c r="O96" s="88"/>
      <c r="P96" s="88"/>
      <c r="Q96" s="237"/>
      <c r="R96" s="237"/>
      <c r="S96" s="237"/>
      <c r="T96" s="88"/>
    </row>
    <row r="97" spans="1:20" ht="14.4" hidden="1">
      <c r="A97" s="88"/>
      <c r="C97" s="88" t="s">
        <v>1168</v>
      </c>
      <c r="D97" s="88" t="s">
        <v>1169</v>
      </c>
      <c r="E97" s="88"/>
      <c r="F97" s="88"/>
      <c r="G97" s="88"/>
      <c r="H97" s="88"/>
      <c r="I97" s="88"/>
      <c r="J97" s="88"/>
      <c r="O97" s="88"/>
      <c r="P97" s="88"/>
      <c r="Q97" s="237"/>
      <c r="R97" s="237"/>
      <c r="S97" s="237"/>
      <c r="T97" s="88"/>
    </row>
    <row r="98" spans="1:20" ht="14.4" hidden="1">
      <c r="A98" s="88"/>
      <c r="C98" s="88"/>
      <c r="D98" s="88" t="s">
        <v>1170</v>
      </c>
      <c r="E98" s="88"/>
      <c r="F98" s="88"/>
      <c r="G98" s="88"/>
      <c r="H98" s="88"/>
      <c r="I98" s="88"/>
      <c r="J98" s="88"/>
      <c r="O98" s="88"/>
      <c r="P98" s="88"/>
      <c r="Q98" s="237"/>
      <c r="R98" s="237"/>
      <c r="S98" s="237"/>
      <c r="T98" s="88"/>
    </row>
    <row r="99" spans="1:20" ht="14.4">
      <c r="D99" s="88"/>
      <c r="E99" s="88"/>
      <c r="F99" s="88"/>
      <c r="G99" s="88"/>
      <c r="H99" s="88"/>
      <c r="I99" s="88"/>
      <c r="J99" s="88"/>
      <c r="P99" s="88"/>
      <c r="Q99" s="237"/>
      <c r="R99" s="237"/>
      <c r="S99" s="237"/>
    </row>
    <row r="100" spans="1:20" ht="15" customHeight="1">
      <c r="P100" s="88"/>
      <c r="Q100" s="237"/>
      <c r="R100" s="237"/>
      <c r="S100" s="237"/>
    </row>
    <row r="103" spans="1:20" ht="15" customHeight="1">
      <c r="C103" s="102"/>
    </row>
    <row r="104" spans="1:20" ht="14.4">
      <c r="C104" s="102"/>
    </row>
    <row r="105" spans="1:20" ht="14.4">
      <c r="C105" s="102"/>
    </row>
    <row r="106" spans="1:20" ht="14.4"/>
    <row r="107" spans="1:20" ht="14.4"/>
  </sheetData>
  <sheetProtection algorithmName="SHA-512" hashValue="M52yWTr01gYJcF/xfhOc91G2GV5fYj6cRmWu9JqJqSHrh1IKSrxTB+jtZGNKxwJ5ZIb1i/jugJ0Yyk35vCp1Fg==" saltValue="SuvM9EcE+Kaax98kYYOUNg==" spinCount="100000" sheet="1" objects="1" scenarios="1"/>
  <autoFilter ref="P7:S58" xr:uid="{266A817A-1A58-4249-B617-0E9774807066}"/>
  <mergeCells count="9">
    <mergeCell ref="C5:N5"/>
    <mergeCell ref="C6:D6"/>
    <mergeCell ref="N33:N34"/>
    <mergeCell ref="E43:E45"/>
    <mergeCell ref="F43:F45"/>
    <mergeCell ref="G43:G45"/>
    <mergeCell ref="H43:H45"/>
    <mergeCell ref="I43:I45"/>
    <mergeCell ref="N43:N45"/>
  </mergeCells>
  <hyperlinks>
    <hyperlink ref="A1" location="'Data Pack Overview'!A1" display="H" xr:uid="{19AAF8BC-2984-4035-82CB-7F6C85AF79A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9D75A-FC8F-47D8-9DB3-EC7DB983D55B}">
  <sheetPr>
    <tabColor rgb="FF92D050"/>
  </sheetPr>
  <dimension ref="A1:U94"/>
  <sheetViews>
    <sheetView showGridLines="0" workbookViewId="0">
      <selection activeCell="D2" sqref="D2"/>
    </sheetView>
  </sheetViews>
  <sheetFormatPr defaultRowHeight="15" customHeight="1"/>
  <cols>
    <col min="1" max="1" width="2.44140625" customWidth="1"/>
    <col min="2" max="2" width="23.44140625" customWidth="1"/>
    <col min="3" max="3" width="10.44140625" customWidth="1"/>
    <col min="4" max="4" width="13.5546875" customWidth="1"/>
    <col min="5" max="6" width="15.5546875" customWidth="1"/>
    <col min="7" max="7" width="12.5546875" customWidth="1"/>
    <col min="8" max="8" width="10.5546875" customWidth="1"/>
    <col min="9" max="9" width="10.44140625" customWidth="1"/>
    <col min="10" max="12" width="9.5546875" customWidth="1"/>
    <col min="13" max="13" width="13.5546875" bestFit="1" customWidth="1"/>
    <col min="14" max="14" width="14" customWidth="1"/>
    <col min="15" max="15" width="14.5546875" customWidth="1"/>
    <col min="16" max="16" width="13.5546875" customWidth="1"/>
    <col min="17" max="17" width="16.5546875" customWidth="1"/>
    <col min="18" max="18" width="16.44140625" customWidth="1"/>
    <col min="19" max="19" width="9.44140625"/>
    <col min="20" max="20" width="15.44140625" customWidth="1"/>
    <col min="21" max="21" width="14.5546875" customWidth="1"/>
  </cols>
  <sheetData>
    <row r="1" spans="1:21" ht="14.4">
      <c r="A1" s="18" t="s">
        <v>32</v>
      </c>
      <c r="B1" s="38"/>
      <c r="C1" s="300"/>
      <c r="D1" s="38"/>
      <c r="E1" s="38"/>
      <c r="F1" s="38"/>
      <c r="G1" s="38"/>
      <c r="H1" s="38"/>
      <c r="I1" s="38"/>
      <c r="J1" s="38"/>
      <c r="K1" s="38"/>
      <c r="L1" s="38"/>
      <c r="M1" s="38"/>
      <c r="N1" s="38"/>
      <c r="O1" s="38"/>
      <c r="P1" s="38"/>
      <c r="Q1" s="38"/>
      <c r="R1" s="38"/>
      <c r="S1" s="38"/>
      <c r="T1" s="38"/>
      <c r="U1" s="38"/>
    </row>
    <row r="2" spans="1:21" ht="21">
      <c r="A2" s="301"/>
      <c r="B2" s="39" t="s">
        <v>1171</v>
      </c>
      <c r="C2" s="302"/>
      <c r="D2" s="39"/>
      <c r="E2" s="39"/>
      <c r="F2" s="39"/>
      <c r="G2" s="39"/>
      <c r="H2" s="301"/>
      <c r="I2" s="893"/>
      <c r="J2" s="893"/>
      <c r="K2" s="893"/>
      <c r="L2" s="893"/>
      <c r="M2" s="893"/>
      <c r="N2" s="301"/>
      <c r="O2" s="301"/>
      <c r="P2" s="301"/>
      <c r="Q2" s="301"/>
      <c r="R2" s="301"/>
      <c r="S2" s="301"/>
      <c r="T2" s="301"/>
      <c r="U2" s="301"/>
    </row>
    <row r="3" spans="1:21" ht="14.4">
      <c r="A3" s="38"/>
      <c r="B3" s="225"/>
      <c r="C3" s="303"/>
      <c r="D3" s="225"/>
      <c r="E3" s="225"/>
      <c r="F3" s="225"/>
      <c r="G3" s="225"/>
      <c r="H3" s="38"/>
      <c r="I3" s="38"/>
      <c r="J3" s="38"/>
      <c r="K3" s="38"/>
      <c r="L3" s="38"/>
      <c r="M3" s="38"/>
      <c r="N3" s="38"/>
      <c r="O3" s="38"/>
      <c r="P3" s="38"/>
      <c r="Q3" s="38"/>
      <c r="R3" s="38"/>
      <c r="S3" s="38"/>
      <c r="T3" s="38"/>
      <c r="U3" s="38"/>
    </row>
    <row r="4" spans="1:21" ht="15.6">
      <c r="A4" s="38"/>
      <c r="B4" s="81" t="s">
        <v>1172</v>
      </c>
      <c r="C4" s="304"/>
      <c r="D4" s="81"/>
      <c r="E4" s="81"/>
      <c r="F4" s="81"/>
      <c r="G4" s="81"/>
      <c r="H4" s="38"/>
      <c r="I4" s="38"/>
      <c r="J4" s="38"/>
      <c r="K4" s="38"/>
      <c r="L4" s="38"/>
      <c r="M4" s="38"/>
      <c r="N4" s="38"/>
      <c r="O4" s="38"/>
      <c r="P4" s="38"/>
      <c r="Q4" s="38"/>
      <c r="R4" s="38"/>
      <c r="S4" s="38"/>
      <c r="T4" s="38"/>
      <c r="U4" s="38"/>
    </row>
    <row r="5" spans="1:21" ht="15.6">
      <c r="A5" s="38"/>
      <c r="B5" s="81"/>
      <c r="C5" s="304"/>
      <c r="D5" s="81"/>
      <c r="E5" s="81"/>
      <c r="F5" s="81"/>
      <c r="G5" s="81"/>
      <c r="H5" s="38"/>
      <c r="I5" s="38"/>
      <c r="J5" s="38"/>
      <c r="K5" s="38"/>
      <c r="L5" s="38"/>
      <c r="M5" s="38"/>
      <c r="N5" s="38"/>
      <c r="O5" s="38"/>
      <c r="P5" s="38"/>
      <c r="Q5" s="38"/>
      <c r="R5" s="38"/>
      <c r="S5" s="38"/>
      <c r="T5" s="38"/>
      <c r="U5" s="38"/>
    </row>
    <row r="6" spans="1:21" s="573" customFormat="1" ht="47.25" customHeight="1">
      <c r="A6" s="38"/>
      <c r="B6" s="887" t="s">
        <v>1173</v>
      </c>
      <c r="C6" s="887"/>
      <c r="D6" s="887"/>
      <c r="E6" s="887"/>
      <c r="F6" s="887"/>
      <c r="G6" s="887"/>
      <c r="H6" s="38"/>
      <c r="I6" s="38"/>
      <c r="J6" s="38"/>
      <c r="K6" s="38"/>
      <c r="L6" s="38"/>
      <c r="M6" s="38"/>
      <c r="N6" s="38"/>
      <c r="O6" s="38"/>
      <c r="P6" s="38"/>
      <c r="Q6" s="38"/>
      <c r="R6" s="38"/>
      <c r="S6" s="38"/>
      <c r="T6" s="38"/>
      <c r="U6" s="38"/>
    </row>
    <row r="7" spans="1:21" s="573" customFormat="1" ht="14.7" customHeight="1">
      <c r="A7" s="38"/>
      <c r="B7" s="693"/>
      <c r="C7" s="693"/>
      <c r="D7" s="693"/>
      <c r="E7" s="693"/>
      <c r="F7" s="693"/>
      <c r="G7" s="693"/>
      <c r="H7" s="38"/>
      <c r="I7" s="38"/>
      <c r="J7" s="38"/>
      <c r="K7" s="38"/>
      <c r="L7" s="38"/>
      <c r="M7" s="38"/>
      <c r="N7" s="38"/>
      <c r="O7" s="38"/>
      <c r="P7" s="38"/>
      <c r="Q7" s="38"/>
      <c r="R7" s="38"/>
      <c r="S7" s="38"/>
      <c r="T7" s="38"/>
      <c r="U7" s="38"/>
    </row>
    <row r="8" spans="1:21" ht="14.4">
      <c r="A8" s="38"/>
      <c r="B8" s="305"/>
      <c r="C8" s="161"/>
      <c r="D8" s="306"/>
      <c r="E8" s="306"/>
      <c r="F8" s="306"/>
      <c r="G8" s="612" t="s">
        <v>39</v>
      </c>
      <c r="H8" s="38"/>
      <c r="I8" s="38"/>
      <c r="J8" s="38"/>
      <c r="K8" s="38"/>
      <c r="L8" s="38"/>
      <c r="M8" s="38"/>
      <c r="N8" s="38"/>
      <c r="O8" s="38"/>
      <c r="P8" s="38"/>
      <c r="Q8" s="38"/>
      <c r="R8" s="38"/>
      <c r="S8" s="38"/>
      <c r="T8" s="38"/>
      <c r="U8" s="38"/>
    </row>
    <row r="9" spans="1:21" ht="14.4">
      <c r="A9" s="38"/>
      <c r="B9" s="307" t="s">
        <v>1174</v>
      </c>
      <c r="C9" s="308"/>
      <c r="D9" s="309"/>
      <c r="E9" s="309"/>
      <c r="F9" s="309"/>
      <c r="G9" s="220"/>
      <c r="H9" s="38"/>
      <c r="I9" s="38"/>
      <c r="J9" s="38"/>
      <c r="K9" s="38"/>
      <c r="L9" s="38"/>
      <c r="M9" s="38"/>
      <c r="N9" s="38"/>
      <c r="O9" s="38"/>
      <c r="P9" s="38"/>
      <c r="Q9" s="38"/>
      <c r="R9" s="38"/>
      <c r="S9" s="38"/>
      <c r="T9" s="38"/>
      <c r="U9" s="38"/>
    </row>
    <row r="10" spans="1:21" ht="14.4">
      <c r="A10" s="38"/>
      <c r="B10" s="917" t="s">
        <v>1175</v>
      </c>
      <c r="C10" s="917"/>
      <c r="D10" s="917"/>
      <c r="E10" s="917"/>
      <c r="F10" s="917"/>
      <c r="G10" s="310">
        <v>24</v>
      </c>
      <c r="H10" s="38"/>
      <c r="I10" s="38"/>
      <c r="J10" s="38"/>
      <c r="K10" s="38"/>
      <c r="L10" s="38"/>
      <c r="M10" s="38"/>
      <c r="N10" s="38"/>
      <c r="O10" s="38"/>
      <c r="P10" s="38"/>
      <c r="Q10" s="38"/>
      <c r="R10" s="38"/>
      <c r="S10" s="38"/>
      <c r="T10" s="38"/>
      <c r="U10" s="38"/>
    </row>
    <row r="11" spans="1:21" ht="14.4">
      <c r="A11" s="38"/>
      <c r="B11" s="917" t="s">
        <v>1176</v>
      </c>
      <c r="C11" s="917"/>
      <c r="D11" s="917"/>
      <c r="E11" s="917"/>
      <c r="F11" s="917"/>
      <c r="G11" s="767">
        <v>9071</v>
      </c>
      <c r="H11" s="38"/>
      <c r="I11" s="38"/>
      <c r="J11" s="38"/>
      <c r="K11" s="38"/>
      <c r="L11" s="38"/>
      <c r="M11" s="38"/>
      <c r="N11" s="38"/>
      <c r="O11" s="38"/>
      <c r="P11" s="38"/>
      <c r="Q11" s="38"/>
      <c r="R11" s="38"/>
      <c r="S11" s="38"/>
      <c r="T11" s="38"/>
      <c r="U11" s="38"/>
    </row>
    <row r="12" spans="1:21" ht="14.4">
      <c r="A12" s="38"/>
      <c r="B12" s="307" t="s">
        <v>1177</v>
      </c>
      <c r="C12" s="308"/>
      <c r="D12" s="309"/>
      <c r="E12" s="309"/>
      <c r="F12" s="309"/>
      <c r="G12" s="220"/>
      <c r="H12" s="38"/>
      <c r="I12" s="38"/>
      <c r="J12" s="38"/>
      <c r="K12" s="38"/>
      <c r="L12" s="38"/>
      <c r="M12" s="38"/>
      <c r="N12" s="38"/>
      <c r="O12" s="38"/>
      <c r="P12" s="38"/>
      <c r="Q12" s="38"/>
      <c r="R12" s="38"/>
      <c r="S12" s="38"/>
      <c r="T12" s="38"/>
      <c r="U12" s="38"/>
    </row>
    <row r="13" spans="1:21" ht="14.4">
      <c r="A13" s="38"/>
      <c r="B13" s="917" t="s">
        <v>1178</v>
      </c>
      <c r="C13" s="917"/>
      <c r="D13" s="917"/>
      <c r="E13" s="917"/>
      <c r="F13" s="917"/>
      <c r="G13" s="311">
        <v>22</v>
      </c>
      <c r="H13" s="38"/>
      <c r="I13" s="38"/>
      <c r="J13" s="38"/>
      <c r="K13" s="38"/>
      <c r="L13" s="38"/>
      <c r="M13" s="38"/>
      <c r="N13" s="38"/>
      <c r="O13" s="38"/>
      <c r="P13" s="38"/>
      <c r="Q13" s="38"/>
      <c r="R13" s="38"/>
      <c r="S13" s="38"/>
      <c r="T13" s="38"/>
      <c r="U13" s="38"/>
    </row>
    <row r="14" spans="1:21" ht="14.4">
      <c r="A14" s="38"/>
      <c r="B14" s="917" t="s">
        <v>1179</v>
      </c>
      <c r="C14" s="917"/>
      <c r="D14" s="917"/>
      <c r="E14" s="917"/>
      <c r="F14" s="917"/>
      <c r="G14" s="767">
        <v>2399</v>
      </c>
      <c r="H14" s="38"/>
      <c r="I14" s="38"/>
      <c r="J14" s="38"/>
      <c r="K14" s="38"/>
      <c r="L14" s="38"/>
      <c r="M14" s="38"/>
      <c r="N14" s="38"/>
      <c r="O14" s="38"/>
      <c r="P14" s="38"/>
      <c r="Q14" s="38"/>
      <c r="R14" s="38"/>
      <c r="S14" s="38"/>
      <c r="T14" s="38"/>
      <c r="U14" s="38"/>
    </row>
    <row r="15" spans="1:21" ht="14.4">
      <c r="A15" s="38"/>
      <c r="B15" s="916" t="s">
        <v>1180</v>
      </c>
      <c r="C15" s="916"/>
      <c r="D15" s="916"/>
      <c r="E15" s="916"/>
      <c r="F15" s="916"/>
      <c r="G15" s="767">
        <v>1131</v>
      </c>
      <c r="H15" s="38"/>
      <c r="I15" s="38"/>
      <c r="J15" s="38"/>
      <c r="K15" s="38"/>
      <c r="L15" s="38"/>
      <c r="M15" s="38"/>
      <c r="N15" s="38"/>
      <c r="O15" s="38"/>
      <c r="P15" s="38"/>
      <c r="Q15" s="38"/>
      <c r="R15" s="38"/>
      <c r="S15" s="38"/>
      <c r="T15" s="38"/>
      <c r="U15" s="38"/>
    </row>
    <row r="16" spans="1:21" ht="14.4">
      <c r="A16" s="38"/>
      <c r="B16" s="917" t="s">
        <v>1181</v>
      </c>
      <c r="C16" s="917"/>
      <c r="D16" s="917"/>
      <c r="E16" s="917"/>
      <c r="F16" s="917"/>
      <c r="G16" s="767">
        <v>1268</v>
      </c>
      <c r="H16" s="38"/>
      <c r="I16" s="38"/>
      <c r="J16" s="38"/>
      <c r="K16" s="38"/>
      <c r="L16" s="38"/>
      <c r="M16" s="38"/>
      <c r="N16" s="38"/>
      <c r="O16" s="38"/>
      <c r="P16" s="38"/>
      <c r="Q16" s="38"/>
      <c r="R16" s="38"/>
      <c r="S16" s="38"/>
      <c r="T16" s="38"/>
      <c r="U16" s="38"/>
    </row>
    <row r="17" spans="1:21" ht="14.4">
      <c r="A17" s="38"/>
      <c r="B17" s="918" t="s">
        <v>1182</v>
      </c>
      <c r="C17" s="918"/>
      <c r="D17" s="918"/>
      <c r="E17" s="918"/>
      <c r="F17" s="918"/>
      <c r="G17" s="767">
        <v>1819</v>
      </c>
      <c r="H17" s="38"/>
      <c r="I17" s="38"/>
      <c r="J17" s="38"/>
      <c r="K17" s="38"/>
      <c r="L17" s="38"/>
      <c r="M17" s="38"/>
      <c r="N17" s="38"/>
      <c r="O17" s="38"/>
      <c r="P17" s="38"/>
      <c r="Q17" s="38"/>
      <c r="R17" s="38"/>
      <c r="S17" s="38"/>
      <c r="T17" s="38"/>
      <c r="U17" s="38"/>
    </row>
    <row r="18" spans="1:21" ht="14.4">
      <c r="A18" s="38"/>
      <c r="B18" s="312" t="s">
        <v>1183</v>
      </c>
      <c r="C18" s="313"/>
      <c r="D18" s="309"/>
      <c r="E18" s="309"/>
      <c r="F18" s="309"/>
      <c r="G18" s="220"/>
      <c r="H18" s="38"/>
      <c r="I18" s="38"/>
      <c r="J18" s="38"/>
      <c r="K18" s="38"/>
      <c r="L18" s="38"/>
      <c r="M18" s="38"/>
      <c r="N18" s="38"/>
      <c r="O18" s="38"/>
      <c r="P18" s="38"/>
      <c r="Q18" s="38"/>
      <c r="R18" s="38"/>
      <c r="S18" s="38"/>
      <c r="T18" s="38"/>
      <c r="U18" s="38"/>
    </row>
    <row r="19" spans="1:21" ht="14.4">
      <c r="A19" s="38"/>
      <c r="B19" s="917" t="s">
        <v>1184</v>
      </c>
      <c r="C19" s="917"/>
      <c r="D19" s="917"/>
      <c r="E19" s="917"/>
      <c r="F19" s="917"/>
      <c r="G19" s="118">
        <v>17</v>
      </c>
      <c r="H19" s="38"/>
      <c r="I19" s="38"/>
      <c r="J19" s="38"/>
      <c r="K19" s="38"/>
      <c r="L19" s="38"/>
      <c r="M19" s="38"/>
      <c r="N19" s="38"/>
      <c r="O19" s="38"/>
      <c r="P19" s="38"/>
      <c r="Q19" s="38"/>
      <c r="R19" s="38"/>
      <c r="S19" s="38"/>
      <c r="T19" s="38"/>
      <c r="U19" s="38"/>
    </row>
    <row r="20" spans="1:21" ht="14.4">
      <c r="A20" s="38"/>
      <c r="B20" s="917" t="s">
        <v>1185</v>
      </c>
      <c r="C20" s="917"/>
      <c r="D20" s="917"/>
      <c r="E20" s="917"/>
      <c r="F20" s="917"/>
      <c r="G20" s="118">
        <v>12</v>
      </c>
      <c r="H20" s="38"/>
      <c r="I20" s="38"/>
      <c r="J20" s="38"/>
      <c r="K20" s="38"/>
      <c r="L20" s="38"/>
      <c r="M20" s="38"/>
      <c r="N20" s="38"/>
      <c r="O20" s="38"/>
      <c r="P20" s="38"/>
      <c r="Q20" s="38"/>
      <c r="R20" s="38"/>
      <c r="S20" s="38"/>
      <c r="T20" s="38"/>
      <c r="U20" s="38"/>
    </row>
    <row r="21" spans="1:21" ht="14.4">
      <c r="A21" s="38"/>
      <c r="B21" s="73"/>
      <c r="C21" s="112"/>
      <c r="D21" s="73"/>
      <c r="E21" s="73"/>
      <c r="F21" s="73"/>
      <c r="G21" s="73"/>
      <c r="H21" s="314"/>
      <c r="I21" s="74"/>
      <c r="J21" s="74"/>
      <c r="K21" s="74"/>
      <c r="L21" s="74"/>
      <c r="M21" s="38"/>
      <c r="N21" s="38"/>
      <c r="O21" s="38"/>
      <c r="P21" s="38"/>
      <c r="Q21" s="38"/>
      <c r="R21" s="38"/>
      <c r="S21" s="38"/>
      <c r="T21" s="38"/>
      <c r="U21" s="38"/>
    </row>
    <row r="22" spans="1:21" ht="26.85" customHeight="1">
      <c r="A22" s="88"/>
      <c r="B22" s="887" t="s">
        <v>1186</v>
      </c>
      <c r="C22" s="887"/>
      <c r="D22" s="887"/>
      <c r="E22" s="887"/>
      <c r="F22" s="887"/>
      <c r="G22" s="887"/>
      <c r="H22" s="73"/>
      <c r="I22" s="73"/>
      <c r="J22" s="73"/>
      <c r="K22" s="73"/>
      <c r="L22" s="73"/>
      <c r="M22" s="88"/>
      <c r="N22" s="88"/>
      <c r="O22" s="88"/>
      <c r="P22" s="88"/>
      <c r="Q22" s="88"/>
      <c r="R22" s="88"/>
      <c r="S22" s="88"/>
      <c r="T22" s="88"/>
      <c r="U22" s="88"/>
    </row>
    <row r="23" spans="1:21" ht="22.5" customHeight="1">
      <c r="A23" s="38"/>
      <c r="B23" s="887" t="s">
        <v>1187</v>
      </c>
      <c r="C23" s="887"/>
      <c r="D23" s="887"/>
      <c r="E23" s="887"/>
      <c r="F23" s="887"/>
      <c r="G23" s="887"/>
      <c r="H23" s="73"/>
      <c r="I23" s="73"/>
      <c r="J23" s="73"/>
      <c r="K23" s="73"/>
      <c r="L23" s="73"/>
      <c r="M23" s="38"/>
      <c r="N23" s="38"/>
      <c r="O23" s="38"/>
      <c r="P23" s="38"/>
      <c r="Q23" s="38"/>
      <c r="R23" s="38"/>
      <c r="S23" s="38"/>
      <c r="T23" s="38"/>
      <c r="U23" s="38"/>
    </row>
    <row r="24" spans="1:21" ht="26.1" customHeight="1">
      <c r="A24" s="38"/>
      <c r="B24" s="888" t="s">
        <v>1188</v>
      </c>
      <c r="C24" s="888"/>
      <c r="D24" s="888"/>
      <c r="E24" s="888"/>
      <c r="F24" s="888"/>
      <c r="G24" s="888"/>
      <c r="H24" s="315"/>
      <c r="I24" s="315"/>
      <c r="J24" s="315"/>
      <c r="K24" s="315"/>
      <c r="L24" s="315"/>
      <c r="M24" s="38"/>
      <c r="N24" s="38"/>
      <c r="O24" s="38"/>
      <c r="P24" s="38"/>
      <c r="Q24" s="38"/>
      <c r="R24" s="38"/>
      <c r="S24" s="38"/>
      <c r="T24" s="38"/>
      <c r="U24" s="38"/>
    </row>
    <row r="25" spans="1:21" ht="45" customHeight="1">
      <c r="A25" s="38"/>
      <c r="B25" s="887"/>
      <c r="C25" s="887"/>
      <c r="D25" s="887"/>
      <c r="E25" s="887"/>
      <c r="F25" s="887"/>
      <c r="G25" s="887"/>
      <c r="H25" s="887"/>
      <c r="I25" s="887"/>
      <c r="J25" s="887"/>
      <c r="K25" s="887"/>
      <c r="L25" s="887"/>
      <c r="M25" s="38"/>
      <c r="N25" s="38"/>
      <c r="O25" s="38"/>
      <c r="P25" s="38"/>
      <c r="Q25" s="38"/>
      <c r="R25" s="38"/>
      <c r="S25" s="38"/>
      <c r="T25" s="38"/>
      <c r="U25" s="38"/>
    </row>
    <row r="26" spans="1:21" ht="77.849999999999994" customHeight="1">
      <c r="A26" s="38"/>
      <c r="B26" s="81"/>
      <c r="C26" s="304"/>
      <c r="D26" s="81"/>
      <c r="E26" s="915"/>
      <c r="F26" s="915"/>
      <c r="G26" s="81"/>
      <c r="H26" s="38"/>
      <c r="I26" s="38"/>
      <c r="J26" s="38"/>
      <c r="K26" s="38"/>
      <c r="L26" s="38"/>
      <c r="M26" s="38"/>
      <c r="N26" s="38"/>
      <c r="O26" s="38"/>
      <c r="P26" s="38"/>
      <c r="Q26" s="38"/>
      <c r="R26" s="38"/>
      <c r="S26" s="38"/>
      <c r="T26" s="38"/>
      <c r="U26" s="38"/>
    </row>
    <row r="27" spans="1:21" ht="14.4">
      <c r="A27" s="38"/>
      <c r="B27" s="611"/>
      <c r="C27" s="300"/>
      <c r="D27" s="38"/>
      <c r="E27" s="38"/>
      <c r="F27" s="38"/>
      <c r="G27" s="38"/>
      <c r="H27" s="38"/>
      <c r="I27" s="38"/>
      <c r="J27" s="38"/>
      <c r="K27" s="38"/>
      <c r="L27" s="38"/>
      <c r="M27" s="38"/>
      <c r="N27" s="38"/>
      <c r="O27" s="38"/>
      <c r="P27" s="38"/>
      <c r="Q27" s="38"/>
      <c r="R27" s="38"/>
      <c r="S27" s="38"/>
      <c r="T27" s="38"/>
      <c r="U27" s="38"/>
    </row>
    <row r="28" spans="1:21" ht="14.4">
      <c r="A28" s="38"/>
      <c r="B28" s="38"/>
      <c r="C28" s="300"/>
      <c r="D28" s="38"/>
      <c r="E28" s="38"/>
      <c r="F28" s="38"/>
      <c r="G28" s="38"/>
      <c r="H28" s="38"/>
      <c r="I28" s="38"/>
      <c r="J28" s="38"/>
      <c r="K28" s="38"/>
      <c r="L28" s="38"/>
      <c r="M28" s="38"/>
      <c r="N28" s="38"/>
      <c r="O28" s="38"/>
      <c r="P28" s="38"/>
      <c r="Q28" s="38"/>
      <c r="R28" s="38"/>
      <c r="S28" s="38"/>
      <c r="T28" s="38"/>
      <c r="U28" s="38"/>
    </row>
    <row r="29" spans="1:21" ht="14.4">
      <c r="A29" s="38"/>
      <c r="B29" s="38"/>
      <c r="C29" s="38"/>
      <c r="D29" s="38"/>
      <c r="E29" s="38"/>
      <c r="F29" s="38"/>
      <c r="G29" s="38"/>
      <c r="H29" s="38"/>
      <c r="I29" s="38"/>
      <c r="J29" s="38"/>
      <c r="K29" s="38"/>
      <c r="L29" s="38"/>
      <c r="M29" s="38"/>
      <c r="N29" s="38"/>
      <c r="O29" s="38"/>
      <c r="P29" s="38"/>
      <c r="Q29" s="38"/>
      <c r="R29" s="38"/>
      <c r="S29" s="38"/>
      <c r="T29" s="38"/>
      <c r="U29" s="38"/>
    </row>
    <row r="30" spans="1:21" ht="14.4">
      <c r="A30" s="38"/>
      <c r="B30" s="38"/>
      <c r="C30" s="38"/>
      <c r="D30" s="38"/>
      <c r="E30" s="38"/>
      <c r="F30" s="38"/>
      <c r="G30" s="38"/>
      <c r="H30" s="38"/>
      <c r="I30" s="38"/>
      <c r="J30" s="38"/>
      <c r="K30" s="38"/>
      <c r="L30" s="38"/>
      <c r="M30" s="38"/>
      <c r="N30" s="38"/>
      <c r="O30" s="38"/>
      <c r="P30" s="38"/>
      <c r="Q30" s="38"/>
      <c r="R30" s="38"/>
      <c r="S30" s="38"/>
      <c r="T30" s="38"/>
      <c r="U30" s="38"/>
    </row>
    <row r="31" spans="1:21" ht="14.4">
      <c r="A31" s="38"/>
      <c r="B31" s="38"/>
      <c r="C31" s="38"/>
      <c r="D31" s="38"/>
      <c r="E31" s="38"/>
      <c r="F31" s="38"/>
      <c r="G31" s="38"/>
      <c r="H31" s="38"/>
      <c r="I31" s="38"/>
      <c r="J31" s="38"/>
      <c r="K31" s="38"/>
      <c r="L31" s="38"/>
      <c r="M31" s="38"/>
      <c r="N31" s="38"/>
      <c r="O31" s="38"/>
      <c r="P31" s="38"/>
      <c r="Q31" s="38"/>
      <c r="R31" s="38"/>
      <c r="S31" s="38"/>
      <c r="T31" s="38"/>
      <c r="U31" s="38"/>
    </row>
    <row r="32" spans="1:21" ht="14.4">
      <c r="A32" s="38"/>
      <c r="B32" s="38"/>
      <c r="C32" s="38"/>
      <c r="D32" s="38"/>
      <c r="E32" s="38"/>
      <c r="F32" s="38"/>
      <c r="G32" s="38"/>
      <c r="H32" s="38"/>
      <c r="I32" s="38"/>
      <c r="J32" s="38"/>
      <c r="K32" s="38"/>
      <c r="L32" s="38"/>
      <c r="M32" s="38"/>
      <c r="N32" s="38"/>
      <c r="O32" s="38"/>
      <c r="P32" s="38"/>
      <c r="Q32" s="38"/>
      <c r="R32" s="38"/>
      <c r="S32" s="38"/>
      <c r="T32" s="38"/>
      <c r="U32" s="38"/>
    </row>
    <row r="33" spans="1:21" ht="14.4">
      <c r="A33" s="38"/>
      <c r="B33" s="38"/>
      <c r="C33" s="38"/>
      <c r="D33" s="38"/>
      <c r="E33" s="38"/>
      <c r="F33" s="38"/>
      <c r="G33" s="38"/>
      <c r="H33" s="38"/>
      <c r="I33" s="38"/>
      <c r="J33" s="38"/>
      <c r="K33" s="38"/>
      <c r="L33" s="38"/>
      <c r="M33" s="38"/>
      <c r="N33" s="38"/>
      <c r="O33" s="38"/>
      <c r="P33" s="38"/>
      <c r="Q33" s="38"/>
      <c r="R33" s="38"/>
      <c r="S33" s="38"/>
      <c r="T33" s="38"/>
      <c r="U33" s="38"/>
    </row>
    <row r="34" spans="1:21" ht="14.4">
      <c r="A34" s="38"/>
      <c r="B34" s="38"/>
      <c r="C34" s="38"/>
      <c r="D34" s="38"/>
      <c r="E34" s="38"/>
      <c r="F34" s="38"/>
      <c r="G34" s="38"/>
      <c r="H34" s="38"/>
      <c r="I34" s="38"/>
      <c r="J34" s="38"/>
      <c r="K34" s="38"/>
      <c r="L34" s="38"/>
      <c r="M34" s="38"/>
      <c r="N34" s="38"/>
      <c r="O34" s="38"/>
      <c r="P34" s="38"/>
      <c r="Q34" s="38"/>
      <c r="R34" s="38"/>
      <c r="S34" s="38"/>
      <c r="T34" s="38"/>
      <c r="U34" s="38"/>
    </row>
    <row r="35" spans="1:21" ht="14.4">
      <c r="A35" s="38"/>
      <c r="B35" s="38"/>
      <c r="C35" s="38"/>
      <c r="D35" s="38"/>
      <c r="E35" s="38"/>
      <c r="F35" s="38"/>
      <c r="G35" s="38"/>
      <c r="H35" s="38"/>
      <c r="I35" s="38"/>
      <c r="J35" s="38"/>
      <c r="K35" s="38"/>
      <c r="L35" s="38"/>
      <c r="M35" s="38"/>
      <c r="N35" s="38"/>
      <c r="O35" s="38"/>
      <c r="P35" s="38"/>
      <c r="Q35" s="38"/>
      <c r="R35" s="38"/>
      <c r="S35" s="38"/>
      <c r="T35" s="38"/>
      <c r="U35" s="38"/>
    </row>
    <row r="36" spans="1:21" ht="14.4">
      <c r="A36" s="38"/>
      <c r="B36" s="38"/>
      <c r="C36" s="38"/>
      <c r="D36" s="38"/>
      <c r="E36" s="38"/>
      <c r="F36" s="38"/>
      <c r="G36" s="38"/>
      <c r="H36" s="38"/>
      <c r="I36" s="38"/>
      <c r="J36" s="38"/>
      <c r="K36" s="38"/>
      <c r="L36" s="38"/>
      <c r="M36" s="38"/>
      <c r="N36" s="38"/>
      <c r="O36" s="38"/>
      <c r="P36" s="38"/>
      <c r="Q36" s="38"/>
      <c r="R36" s="38"/>
      <c r="S36" s="38"/>
      <c r="T36" s="38"/>
      <c r="U36" s="38"/>
    </row>
    <row r="37" spans="1:21" ht="14.4">
      <c r="A37" s="38"/>
      <c r="B37" s="38"/>
      <c r="C37" s="38"/>
      <c r="D37" s="38"/>
      <c r="E37" s="38"/>
      <c r="F37" s="38"/>
      <c r="G37" s="38"/>
      <c r="H37" s="38"/>
      <c r="I37" s="38"/>
      <c r="J37" s="38"/>
      <c r="K37" s="38"/>
      <c r="L37" s="38"/>
      <c r="M37" s="38"/>
      <c r="N37" s="38"/>
      <c r="O37" s="38"/>
      <c r="P37" s="38"/>
      <c r="Q37" s="38"/>
      <c r="R37" s="38"/>
      <c r="S37" s="38"/>
      <c r="T37" s="38"/>
      <c r="U37" s="38"/>
    </row>
    <row r="38" spans="1:21" ht="14.4">
      <c r="A38" s="38"/>
      <c r="B38" s="38"/>
      <c r="C38" s="38"/>
      <c r="D38" s="38"/>
      <c r="E38" s="38"/>
      <c r="F38" s="38"/>
      <c r="G38" s="38"/>
      <c r="H38" s="38"/>
      <c r="I38" s="38"/>
      <c r="J38" s="38"/>
      <c r="K38" s="38"/>
      <c r="L38" s="38"/>
      <c r="M38" s="38"/>
      <c r="N38" s="38"/>
      <c r="O38" s="38"/>
      <c r="P38" s="38"/>
      <c r="Q38" s="38"/>
      <c r="R38" s="38"/>
      <c r="S38" s="38"/>
      <c r="T38" s="38"/>
      <c r="U38" s="38"/>
    </row>
    <row r="39" spans="1:21" ht="14.4">
      <c r="A39" s="38"/>
      <c r="B39" s="38"/>
      <c r="C39" s="38"/>
      <c r="D39" s="38"/>
      <c r="E39" s="38"/>
      <c r="F39" s="38"/>
      <c r="G39" s="38"/>
      <c r="H39" s="38"/>
      <c r="I39" s="38"/>
      <c r="J39" s="38"/>
      <c r="K39" s="38"/>
      <c r="L39" s="38"/>
      <c r="M39" s="38"/>
      <c r="N39" s="38"/>
      <c r="O39" s="38"/>
      <c r="P39" s="38"/>
      <c r="Q39" s="38"/>
      <c r="R39" s="38"/>
      <c r="S39" s="38"/>
      <c r="T39" s="38"/>
      <c r="U39" s="38"/>
    </row>
    <row r="40" spans="1:21" ht="14.4">
      <c r="A40" s="38"/>
      <c r="B40" s="38"/>
      <c r="C40" s="38"/>
      <c r="D40" s="38"/>
      <c r="E40" s="38"/>
      <c r="F40" s="38"/>
      <c r="G40" s="38"/>
      <c r="H40" s="38"/>
      <c r="I40" s="38"/>
      <c r="J40" s="38"/>
      <c r="K40" s="38"/>
      <c r="L40" s="38"/>
      <c r="M40" s="38"/>
      <c r="N40" s="38"/>
      <c r="O40" s="38"/>
      <c r="P40" s="38"/>
      <c r="Q40" s="38"/>
      <c r="R40" s="38"/>
      <c r="S40" s="38"/>
      <c r="T40" s="38"/>
      <c r="U40" s="38"/>
    </row>
    <row r="41" spans="1:21" ht="14.4">
      <c r="A41" s="38"/>
      <c r="B41" s="38"/>
      <c r="C41" s="38"/>
      <c r="D41" s="38"/>
      <c r="E41" s="38"/>
      <c r="F41" s="38"/>
      <c r="G41" s="38"/>
      <c r="H41" s="38"/>
      <c r="I41" s="38"/>
      <c r="J41" s="38"/>
      <c r="K41" s="38"/>
      <c r="L41" s="38"/>
      <c r="M41" s="38"/>
      <c r="N41" s="38"/>
      <c r="O41" s="38"/>
      <c r="P41" s="38"/>
      <c r="Q41" s="38"/>
      <c r="R41" s="38"/>
      <c r="S41" s="38"/>
      <c r="T41" s="38"/>
      <c r="U41" s="38"/>
    </row>
    <row r="42" spans="1:21" ht="14.4">
      <c r="A42" s="38"/>
      <c r="B42" s="38"/>
      <c r="C42" s="38"/>
      <c r="D42" s="38"/>
      <c r="E42" s="38"/>
      <c r="F42" s="38"/>
      <c r="G42" s="38"/>
      <c r="H42" s="38"/>
      <c r="I42" s="38"/>
      <c r="J42" s="38"/>
      <c r="K42" s="38"/>
      <c r="L42" s="38"/>
      <c r="M42" s="38"/>
      <c r="N42" s="38"/>
      <c r="O42" s="38"/>
      <c r="P42" s="38"/>
      <c r="Q42" s="38"/>
      <c r="R42" s="38"/>
      <c r="S42" s="38"/>
      <c r="T42" s="38"/>
      <c r="U42" s="38"/>
    </row>
    <row r="43" spans="1:21" ht="14.4">
      <c r="A43" s="38"/>
      <c r="B43" s="38"/>
      <c r="C43" s="38"/>
      <c r="D43" s="38"/>
      <c r="E43" s="38"/>
      <c r="F43" s="38"/>
      <c r="G43" s="38"/>
      <c r="H43" s="38"/>
      <c r="I43" s="38"/>
      <c r="J43" s="38"/>
      <c r="K43" s="38"/>
      <c r="L43" s="38"/>
      <c r="M43" s="38"/>
      <c r="N43" s="38"/>
      <c r="O43" s="38"/>
      <c r="P43" s="38"/>
      <c r="Q43" s="38"/>
      <c r="R43" s="38"/>
      <c r="S43" s="38"/>
      <c r="T43" s="38"/>
      <c r="U43" s="38"/>
    </row>
    <row r="44" spans="1:21" ht="14.4">
      <c r="A44" s="38"/>
      <c r="B44" s="38"/>
      <c r="C44" s="38"/>
      <c r="D44" s="38"/>
      <c r="E44" s="38"/>
      <c r="F44" s="38"/>
      <c r="G44" s="38"/>
      <c r="H44" s="38"/>
      <c r="I44" s="38"/>
      <c r="J44" s="38"/>
      <c r="K44" s="38"/>
      <c r="L44" s="38"/>
      <c r="M44" s="38"/>
      <c r="N44" s="38"/>
      <c r="O44" s="38"/>
      <c r="P44" s="38"/>
      <c r="Q44" s="38"/>
      <c r="R44" s="38"/>
      <c r="S44" s="38"/>
      <c r="T44" s="38"/>
      <c r="U44" s="38"/>
    </row>
    <row r="45" spans="1:21" ht="14.4">
      <c r="A45" s="38"/>
      <c r="B45" s="38"/>
      <c r="C45" s="38"/>
      <c r="D45" s="38"/>
      <c r="E45" s="38"/>
      <c r="F45" s="38"/>
      <c r="G45" s="38"/>
      <c r="H45" s="38"/>
      <c r="I45" s="38"/>
      <c r="J45" s="38"/>
      <c r="K45" s="38"/>
      <c r="L45" s="38"/>
      <c r="M45" s="38"/>
      <c r="N45" s="38"/>
      <c r="O45" s="38"/>
      <c r="P45" s="38"/>
      <c r="Q45" s="38"/>
      <c r="R45" s="38"/>
      <c r="S45" s="38"/>
      <c r="T45" s="38"/>
      <c r="U45" s="38"/>
    </row>
    <row r="46" spans="1:21" ht="14.4">
      <c r="A46" s="38"/>
      <c r="B46" s="38"/>
      <c r="C46" s="38"/>
      <c r="D46" s="38"/>
      <c r="E46" s="38"/>
      <c r="F46" s="38"/>
      <c r="G46" s="38"/>
      <c r="H46" s="38"/>
      <c r="I46" s="38"/>
      <c r="J46" s="38"/>
      <c r="K46" s="38"/>
      <c r="L46" s="38"/>
      <c r="M46" s="38"/>
      <c r="N46" s="38"/>
      <c r="O46" s="38"/>
      <c r="P46" s="38"/>
      <c r="Q46" s="38"/>
      <c r="R46" s="38"/>
      <c r="S46" s="38"/>
      <c r="T46" s="38"/>
      <c r="U46" s="38"/>
    </row>
    <row r="47" spans="1:21" ht="14.4">
      <c r="A47" s="38"/>
      <c r="B47" s="38"/>
      <c r="C47" s="38"/>
      <c r="D47" s="38"/>
      <c r="E47" s="38"/>
      <c r="F47" s="38"/>
      <c r="G47" s="38"/>
      <c r="H47" s="38"/>
      <c r="I47" s="38"/>
      <c r="J47" s="38"/>
      <c r="K47" s="38"/>
      <c r="L47" s="38"/>
      <c r="M47" s="38"/>
      <c r="N47" s="38"/>
      <c r="O47" s="38"/>
      <c r="P47" s="38"/>
      <c r="Q47" s="38"/>
      <c r="R47" s="38"/>
      <c r="S47" s="38"/>
      <c r="T47" s="38"/>
      <c r="U47" s="38"/>
    </row>
    <row r="48" spans="1:21" ht="14.4">
      <c r="A48" s="38"/>
      <c r="B48" s="38"/>
      <c r="C48" s="38"/>
      <c r="D48" s="38"/>
      <c r="E48" s="38"/>
      <c r="F48" s="38"/>
      <c r="G48" s="38"/>
      <c r="H48" s="38"/>
      <c r="I48" s="38"/>
      <c r="J48" s="38"/>
      <c r="K48" s="38"/>
      <c r="L48" s="38"/>
      <c r="M48" s="38"/>
      <c r="N48" s="38"/>
      <c r="O48" s="38"/>
      <c r="P48" s="38"/>
      <c r="Q48" s="38"/>
      <c r="R48" s="38"/>
      <c r="S48" s="38"/>
      <c r="T48" s="38"/>
      <c r="U48" s="38"/>
    </row>
    <row r="49" spans="1:21" ht="14.4">
      <c r="A49" s="38"/>
      <c r="B49" s="38"/>
      <c r="C49" s="38"/>
      <c r="D49" s="38"/>
      <c r="E49" s="38"/>
      <c r="F49" s="38"/>
      <c r="G49" s="38"/>
      <c r="H49" s="38"/>
      <c r="I49" s="38"/>
      <c r="J49" s="38"/>
      <c r="K49" s="38"/>
      <c r="L49" s="38"/>
      <c r="M49" s="38"/>
      <c r="N49" s="38"/>
      <c r="O49" s="38"/>
      <c r="P49" s="38"/>
      <c r="Q49" s="38"/>
      <c r="R49" s="38"/>
      <c r="S49" s="38"/>
      <c r="T49" s="38"/>
      <c r="U49" s="38"/>
    </row>
    <row r="50" spans="1:21" ht="14.4">
      <c r="A50" s="38"/>
      <c r="B50" s="38"/>
      <c r="C50" s="38"/>
      <c r="D50" s="38"/>
      <c r="E50" s="38"/>
      <c r="F50" s="38"/>
      <c r="G50" s="38"/>
      <c r="H50" s="38"/>
      <c r="I50" s="38"/>
      <c r="J50" s="38"/>
      <c r="K50" s="38"/>
      <c r="L50" s="38"/>
      <c r="M50" s="38"/>
      <c r="N50" s="38"/>
      <c r="O50" s="38"/>
      <c r="P50" s="38"/>
      <c r="Q50" s="38"/>
      <c r="R50" s="38"/>
      <c r="S50" s="38"/>
      <c r="T50" s="38"/>
      <c r="U50" s="38"/>
    </row>
    <row r="51" spans="1:21" ht="14.4">
      <c r="A51" s="38"/>
      <c r="B51" s="38"/>
      <c r="C51" s="38"/>
      <c r="D51" s="38"/>
      <c r="E51" s="38"/>
      <c r="F51" s="38"/>
      <c r="G51" s="38"/>
      <c r="H51" s="38"/>
      <c r="I51" s="38"/>
      <c r="J51" s="38"/>
      <c r="K51" s="38"/>
      <c r="L51" s="38"/>
      <c r="M51" s="38"/>
      <c r="N51" s="38"/>
      <c r="O51" s="38"/>
      <c r="P51" s="38"/>
      <c r="Q51" s="38"/>
      <c r="R51" s="38"/>
      <c r="S51" s="38"/>
      <c r="T51" s="38"/>
      <c r="U51" s="38"/>
    </row>
    <row r="52" spans="1:21" ht="14.4">
      <c r="A52" s="38"/>
      <c r="B52" s="38"/>
      <c r="C52" s="38"/>
      <c r="D52" s="38"/>
      <c r="E52" s="38"/>
      <c r="F52" s="38"/>
      <c r="G52" s="38"/>
      <c r="H52" s="38"/>
      <c r="I52" s="38"/>
      <c r="J52" s="38"/>
      <c r="K52" s="38"/>
      <c r="L52" s="38"/>
      <c r="M52" s="38"/>
      <c r="N52" s="38"/>
      <c r="O52" s="38"/>
      <c r="P52" s="38"/>
      <c r="Q52" s="38"/>
      <c r="R52" s="38"/>
      <c r="S52" s="38"/>
      <c r="T52" s="38"/>
      <c r="U52" s="38"/>
    </row>
    <row r="53" spans="1:21" ht="14.4">
      <c r="A53" s="38"/>
      <c r="B53" s="38"/>
      <c r="C53" s="38"/>
      <c r="D53" s="38"/>
      <c r="E53" s="38"/>
      <c r="F53" s="38"/>
      <c r="G53" s="38"/>
      <c r="H53" s="38"/>
      <c r="I53" s="38"/>
      <c r="J53" s="38"/>
      <c r="K53" s="38"/>
      <c r="L53" s="38"/>
      <c r="M53" s="38"/>
      <c r="N53" s="38"/>
      <c r="O53" s="38"/>
      <c r="P53" s="38"/>
      <c r="Q53" s="38"/>
      <c r="R53" s="38"/>
      <c r="S53" s="38"/>
      <c r="T53" s="38"/>
      <c r="U53" s="38"/>
    </row>
    <row r="54" spans="1:21" ht="14.4">
      <c r="A54" s="38"/>
      <c r="B54" s="38"/>
      <c r="C54" s="38"/>
      <c r="D54" s="38"/>
      <c r="E54" s="38"/>
      <c r="F54" s="38"/>
      <c r="G54" s="38"/>
      <c r="H54" s="38"/>
      <c r="I54" s="38"/>
      <c r="J54" s="38"/>
      <c r="K54" s="38"/>
      <c r="L54" s="38"/>
      <c r="M54" s="38"/>
      <c r="N54" s="38"/>
      <c r="O54" s="38"/>
      <c r="P54" s="38"/>
      <c r="Q54" s="38"/>
      <c r="R54" s="38"/>
      <c r="S54" s="38"/>
      <c r="T54" s="38"/>
      <c r="U54" s="38"/>
    </row>
    <row r="55" spans="1:21" ht="14.4">
      <c r="A55" s="38"/>
      <c r="B55" s="38"/>
      <c r="C55" s="38"/>
      <c r="D55" s="38"/>
      <c r="E55" s="38"/>
      <c r="F55" s="38"/>
      <c r="G55" s="38"/>
      <c r="H55" s="38"/>
      <c r="I55" s="38"/>
      <c r="J55" s="38"/>
      <c r="K55" s="38"/>
      <c r="L55" s="38"/>
      <c r="M55" s="38"/>
      <c r="N55" s="38"/>
      <c r="O55" s="38"/>
      <c r="P55" s="38"/>
      <c r="Q55" s="38"/>
      <c r="R55" s="38"/>
      <c r="S55" s="38"/>
      <c r="T55" s="38"/>
      <c r="U55" s="38"/>
    </row>
    <row r="56" spans="1:21" ht="14.4">
      <c r="A56" s="38"/>
      <c r="B56" s="38"/>
      <c r="C56" s="38"/>
      <c r="D56" s="38"/>
      <c r="E56" s="38"/>
      <c r="F56" s="38"/>
      <c r="G56" s="38"/>
      <c r="H56" s="38"/>
      <c r="I56" s="38"/>
      <c r="J56" s="38"/>
      <c r="K56" s="38"/>
      <c r="L56" s="38"/>
      <c r="M56" s="38"/>
      <c r="N56" s="38"/>
      <c r="O56" s="38"/>
      <c r="P56" s="38"/>
      <c r="Q56" s="38"/>
      <c r="R56" s="38"/>
      <c r="S56" s="38"/>
      <c r="T56" s="38"/>
      <c r="U56" s="38"/>
    </row>
    <row r="57" spans="1:21" ht="14.4">
      <c r="A57" s="38"/>
      <c r="B57" s="38"/>
      <c r="C57" s="38"/>
      <c r="D57" s="38"/>
      <c r="E57" s="38"/>
      <c r="F57" s="38"/>
      <c r="G57" s="38"/>
      <c r="H57" s="38"/>
      <c r="I57" s="38"/>
      <c r="J57" s="38"/>
      <c r="K57" s="38"/>
      <c r="L57" s="38"/>
      <c r="M57" s="38"/>
      <c r="N57" s="38"/>
      <c r="O57" s="38"/>
      <c r="P57" s="38"/>
      <c r="Q57" s="38"/>
      <c r="R57" s="38"/>
      <c r="S57" s="38"/>
      <c r="T57" s="38"/>
      <c r="U57" s="38"/>
    </row>
    <row r="58" spans="1:21" ht="14.4">
      <c r="A58" s="38"/>
      <c r="B58" s="38"/>
      <c r="C58" s="38"/>
      <c r="D58" s="38"/>
      <c r="E58" s="38"/>
      <c r="F58" s="38"/>
      <c r="G58" s="38"/>
      <c r="H58" s="38"/>
      <c r="I58" s="38"/>
      <c r="J58" s="38"/>
      <c r="K58" s="38"/>
      <c r="L58" s="38"/>
      <c r="M58" s="38"/>
      <c r="N58" s="38"/>
      <c r="O58" s="38"/>
      <c r="P58" s="38"/>
      <c r="Q58" s="38"/>
      <c r="R58" s="38"/>
      <c r="S58" s="38"/>
      <c r="T58" s="38"/>
      <c r="U58" s="38"/>
    </row>
    <row r="59" spans="1:21" ht="14.4">
      <c r="A59" s="38"/>
      <c r="B59" s="38"/>
      <c r="C59" s="38"/>
      <c r="D59" s="38"/>
      <c r="E59" s="38"/>
      <c r="F59" s="38"/>
      <c r="G59" s="38"/>
      <c r="H59" s="38"/>
      <c r="I59" s="38"/>
      <c r="J59" s="38"/>
      <c r="K59" s="38"/>
      <c r="L59" s="38"/>
      <c r="M59" s="38"/>
      <c r="N59" s="38"/>
      <c r="O59" s="38"/>
      <c r="P59" s="38"/>
      <c r="Q59" s="38"/>
      <c r="R59" s="38"/>
      <c r="S59" s="38"/>
      <c r="T59" s="38"/>
      <c r="U59" s="38"/>
    </row>
    <row r="60" spans="1:21" ht="14.4">
      <c r="A60" s="38"/>
      <c r="B60" s="38"/>
      <c r="C60" s="38"/>
      <c r="D60" s="38"/>
      <c r="E60" s="38"/>
      <c r="F60" s="38"/>
      <c r="G60" s="38"/>
      <c r="H60" s="38"/>
      <c r="I60" s="38"/>
      <c r="J60" s="38"/>
      <c r="K60" s="38"/>
      <c r="L60" s="38"/>
      <c r="M60" s="38"/>
      <c r="N60" s="38"/>
      <c r="O60" s="38"/>
      <c r="P60" s="38"/>
      <c r="Q60" s="38"/>
      <c r="R60" s="38"/>
      <c r="S60" s="38"/>
      <c r="T60" s="38"/>
      <c r="U60" s="38"/>
    </row>
    <row r="61" spans="1:21" ht="14.4">
      <c r="A61" s="38"/>
      <c r="B61" s="38"/>
      <c r="C61" s="38"/>
      <c r="D61" s="38"/>
      <c r="E61" s="38"/>
      <c r="F61" s="38"/>
      <c r="G61" s="38"/>
      <c r="H61" s="38"/>
      <c r="I61" s="38"/>
      <c r="J61" s="38"/>
      <c r="K61" s="38"/>
      <c r="L61" s="38"/>
      <c r="M61" s="38"/>
      <c r="N61" s="38"/>
      <c r="O61" s="38"/>
      <c r="P61" s="38"/>
      <c r="Q61" s="38"/>
      <c r="R61" s="38"/>
      <c r="S61" s="38"/>
      <c r="T61" s="38"/>
      <c r="U61" s="38"/>
    </row>
    <row r="62" spans="1:21" ht="14.4"/>
    <row r="63" spans="1:21" ht="14.4"/>
    <row r="64" spans="1:21" ht="14.4"/>
    <row r="65" ht="14.4"/>
    <row r="66" ht="14.4"/>
    <row r="67" ht="14.4"/>
    <row r="68" ht="14.4"/>
    <row r="69" ht="14.4"/>
    <row r="70" ht="14.4"/>
    <row r="71" ht="14.4"/>
    <row r="72" ht="14.4"/>
    <row r="73" ht="14.4"/>
    <row r="74" ht="14.4"/>
    <row r="75" ht="14.4"/>
    <row r="76" ht="14.4"/>
    <row r="77" ht="14.4"/>
    <row r="78" ht="14.4"/>
    <row r="79" ht="14.4"/>
    <row r="80" ht="14.4"/>
    <row r="81" ht="14.4"/>
    <row r="82" ht="14.4"/>
    <row r="83" ht="14.4"/>
    <row r="84" ht="14.4"/>
    <row r="85" ht="14.4"/>
    <row r="86" ht="14.4"/>
    <row r="87" ht="14.4"/>
    <row r="88" ht="14.4"/>
    <row r="89" ht="14.4"/>
    <row r="90" ht="14.4"/>
    <row r="91" ht="14.4"/>
    <row r="92" ht="14.4"/>
    <row r="93" ht="14.4"/>
    <row r="94" ht="14.4"/>
  </sheetData>
  <sheetProtection algorithmName="SHA-512" hashValue="lPB60xLuJRWmUMVh5W+AhZ5zaBbebbk79FdqpCAnsXyhAOIKvcdRjzTDfBgrp5mWSM1wMVL71VW3v352FmnjqA==" saltValue="DETwagjt7odh3fBA2fco3g==" spinCount="100000" sheet="1" objects="1" scenarios="1"/>
  <mergeCells count="16">
    <mergeCell ref="I2:M2"/>
    <mergeCell ref="B10:F10"/>
    <mergeCell ref="B11:F11"/>
    <mergeCell ref="B13:F13"/>
    <mergeCell ref="B14:F14"/>
    <mergeCell ref="B6:G6"/>
    <mergeCell ref="B23:G23"/>
    <mergeCell ref="B24:G24"/>
    <mergeCell ref="B25:L25"/>
    <mergeCell ref="E26:F26"/>
    <mergeCell ref="B15:F15"/>
    <mergeCell ref="B16:F16"/>
    <mergeCell ref="B17:F17"/>
    <mergeCell ref="B19:F19"/>
    <mergeCell ref="B20:F20"/>
    <mergeCell ref="B22:G22"/>
  </mergeCells>
  <hyperlinks>
    <hyperlink ref="A1" location="'Data Pack Overview'!A1" display="H" xr:uid="{5097E761-2DFC-4C98-B534-CE08C4423D66}"/>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E0651-E297-473C-816B-562E4C5CD0BC}">
  <sheetPr>
    <tabColor theme="1" tint="0.34998626667073579"/>
  </sheetPr>
  <dimension ref="A1:H163"/>
  <sheetViews>
    <sheetView showGridLines="0" zoomScale="90" zoomScaleNormal="90" workbookViewId="0">
      <selection activeCell="D3" sqref="D3"/>
    </sheetView>
  </sheetViews>
  <sheetFormatPr defaultColWidth="9.33203125" defaultRowHeight="14.4"/>
  <cols>
    <col min="1" max="1" width="2.5546875" customWidth="1"/>
    <col min="2" max="2" width="29.44140625" customWidth="1"/>
    <col min="3" max="3" width="29.5546875" customWidth="1"/>
    <col min="4" max="4" width="60.44140625" customWidth="1"/>
    <col min="5" max="5" width="89.5546875" hidden="1" customWidth="1"/>
    <col min="6" max="6" width="16.5546875" hidden="1" customWidth="1"/>
    <col min="7" max="7" width="67.88671875" style="570" customWidth="1"/>
    <col min="8" max="8" width="14.44140625" customWidth="1"/>
  </cols>
  <sheetData>
    <row r="1" spans="1:8">
      <c r="A1" s="317" t="s">
        <v>32</v>
      </c>
      <c r="B1" s="318"/>
      <c r="C1" s="319"/>
      <c r="D1" s="318"/>
      <c r="E1" s="319"/>
      <c r="F1" s="318"/>
      <c r="G1" s="319"/>
    </row>
    <row r="2" spans="1:8" ht="21">
      <c r="A2" s="318"/>
      <c r="B2" s="19" t="s">
        <v>1189</v>
      </c>
      <c r="C2" s="320"/>
      <c r="D2" s="318"/>
      <c r="E2" s="319"/>
      <c r="F2" s="318"/>
      <c r="G2" s="319"/>
    </row>
    <row r="3" spans="1:8">
      <c r="A3" s="318"/>
      <c r="B3" s="168"/>
      <c r="C3" s="319"/>
      <c r="D3" s="318"/>
      <c r="E3" s="319"/>
      <c r="F3" s="318"/>
      <c r="G3" s="319"/>
    </row>
    <row r="4" spans="1:8" ht="22.95" customHeight="1">
      <c r="A4" s="318"/>
      <c r="B4" s="20" t="s">
        <v>1190</v>
      </c>
      <c r="C4" s="774"/>
      <c r="D4" s="774"/>
      <c r="E4" s="774"/>
      <c r="F4" s="775"/>
      <c r="G4" s="319"/>
    </row>
    <row r="5" spans="1:8" ht="53.7" customHeight="1">
      <c r="A5" s="318"/>
      <c r="B5" s="801" t="s">
        <v>1705</v>
      </c>
      <c r="C5" s="801"/>
      <c r="D5" s="801"/>
      <c r="E5" s="341" t="s">
        <v>435</v>
      </c>
      <c r="F5" s="21" t="s">
        <v>434</v>
      </c>
      <c r="G5" s="783" t="s">
        <v>435</v>
      </c>
      <c r="H5" s="784" t="s">
        <v>434</v>
      </c>
    </row>
    <row r="6" spans="1:8" ht="15">
      <c r="A6" s="318"/>
      <c r="E6" s="341" t="s">
        <v>436</v>
      </c>
      <c r="F6" s="23" t="s">
        <v>434</v>
      </c>
      <c r="G6" s="569" t="s">
        <v>436</v>
      </c>
      <c r="H6" s="23" t="s">
        <v>434</v>
      </c>
    </row>
    <row r="7" spans="1:8" ht="15.6">
      <c r="A7" s="318"/>
      <c r="B7" s="20" t="s">
        <v>437</v>
      </c>
      <c r="C7" s="321"/>
      <c r="D7" s="318" t="s">
        <v>1191</v>
      </c>
      <c r="E7" s="341" t="s">
        <v>438</v>
      </c>
      <c r="F7" s="24" t="s">
        <v>434</v>
      </c>
      <c r="G7" s="569" t="s">
        <v>438</v>
      </c>
      <c r="H7" s="24" t="s">
        <v>434</v>
      </c>
    </row>
    <row r="8" spans="1:8" ht="16.95" customHeight="1">
      <c r="A8" s="318"/>
      <c r="B8" s="318" t="s">
        <v>1192</v>
      </c>
      <c r="C8" s="319"/>
      <c r="D8" s="318"/>
      <c r="E8" s="319"/>
      <c r="F8" s="318"/>
      <c r="G8" s="319"/>
      <c r="H8" s="318"/>
    </row>
    <row r="9" spans="1:8">
      <c r="A9" s="318"/>
      <c r="B9" s="322" t="s">
        <v>1193</v>
      </c>
      <c r="C9" s="322" t="s">
        <v>440</v>
      </c>
      <c r="D9" s="322" t="s">
        <v>441</v>
      </c>
      <c r="E9" s="322" t="s">
        <v>1194</v>
      </c>
      <c r="F9" s="323" t="s">
        <v>443</v>
      </c>
      <c r="G9" s="322" t="s">
        <v>1195</v>
      </c>
      <c r="H9" s="323" t="s">
        <v>443</v>
      </c>
    </row>
    <row r="10" spans="1:8">
      <c r="A10" s="318"/>
      <c r="B10" s="324" t="s">
        <v>1196</v>
      </c>
      <c r="C10" s="324"/>
      <c r="D10" s="325"/>
      <c r="E10" s="325"/>
      <c r="F10" s="326"/>
      <c r="G10" s="325"/>
      <c r="H10" s="326"/>
    </row>
    <row r="11" spans="1:8" ht="68.400000000000006">
      <c r="A11" s="318"/>
      <c r="B11" s="923" t="s">
        <v>1197</v>
      </c>
      <c r="C11" s="327" t="s">
        <v>445</v>
      </c>
      <c r="D11" s="328" t="s">
        <v>1198</v>
      </c>
      <c r="E11" s="329" t="s">
        <v>1199</v>
      </c>
      <c r="F11" s="342" t="s">
        <v>434</v>
      </c>
      <c r="G11" s="606" t="s">
        <v>1200</v>
      </c>
      <c r="H11" s="342" t="s">
        <v>434</v>
      </c>
    </row>
    <row r="12" spans="1:8" ht="54.6" customHeight="1">
      <c r="A12" s="318"/>
      <c r="B12" s="923"/>
      <c r="C12" s="330" t="s">
        <v>326</v>
      </c>
      <c r="D12" s="331" t="s">
        <v>1201</v>
      </c>
      <c r="E12" s="332" t="s">
        <v>1202</v>
      </c>
      <c r="F12" s="343" t="s">
        <v>434</v>
      </c>
      <c r="G12" s="332" t="s">
        <v>1203</v>
      </c>
      <c r="H12" s="343" t="s">
        <v>434</v>
      </c>
    </row>
    <row r="13" spans="1:8" ht="61.95" customHeight="1">
      <c r="A13" s="318"/>
      <c r="B13" s="923"/>
      <c r="C13" s="330" t="s">
        <v>326</v>
      </c>
      <c r="D13" s="331" t="s">
        <v>1204</v>
      </c>
      <c r="E13" s="332" t="s">
        <v>1205</v>
      </c>
      <c r="F13" s="343" t="s">
        <v>434</v>
      </c>
      <c r="G13" s="733" t="s">
        <v>1206</v>
      </c>
      <c r="H13" s="343" t="s">
        <v>434</v>
      </c>
    </row>
    <row r="14" spans="1:8" ht="56.7" customHeight="1">
      <c r="A14" s="318"/>
      <c r="B14" s="923"/>
      <c r="C14" s="330" t="s">
        <v>326</v>
      </c>
      <c r="D14" s="331" t="s">
        <v>1207</v>
      </c>
      <c r="E14" s="332" t="s">
        <v>1208</v>
      </c>
      <c r="F14" s="343" t="s">
        <v>434</v>
      </c>
      <c r="G14" s="605" t="s">
        <v>1209</v>
      </c>
      <c r="H14" s="343" t="s">
        <v>434</v>
      </c>
    </row>
    <row r="15" spans="1:8" ht="87.6" customHeight="1">
      <c r="A15" s="318"/>
      <c r="B15" s="923"/>
      <c r="C15" s="330" t="s">
        <v>326</v>
      </c>
      <c r="D15" s="331" t="s">
        <v>1210</v>
      </c>
      <c r="E15" s="331" t="s">
        <v>1211</v>
      </c>
      <c r="F15" s="343" t="s">
        <v>434</v>
      </c>
      <c r="G15" s="331" t="s">
        <v>1212</v>
      </c>
      <c r="H15" s="343" t="s">
        <v>434</v>
      </c>
    </row>
    <row r="16" spans="1:8" ht="50.4" customHeight="1">
      <c r="A16" s="318"/>
      <c r="B16" s="923"/>
      <c r="C16" s="333" t="s">
        <v>420</v>
      </c>
      <c r="D16" s="331" t="s">
        <v>1213</v>
      </c>
      <c r="E16" s="332" t="s">
        <v>1214</v>
      </c>
      <c r="F16" s="343" t="s">
        <v>434</v>
      </c>
      <c r="G16" s="197" t="s">
        <v>1215</v>
      </c>
      <c r="H16" s="343" t="s">
        <v>434</v>
      </c>
    </row>
    <row r="17" spans="1:8" ht="70.5" customHeight="1">
      <c r="A17" s="318"/>
      <c r="B17" s="923"/>
      <c r="C17" s="333" t="s">
        <v>420</v>
      </c>
      <c r="D17" s="334" t="s">
        <v>1216</v>
      </c>
      <c r="E17" s="332" t="s">
        <v>1217</v>
      </c>
      <c r="F17" s="343" t="s">
        <v>434</v>
      </c>
      <c r="G17" s="197" t="s">
        <v>1218</v>
      </c>
      <c r="H17" s="343" t="s">
        <v>434</v>
      </c>
    </row>
    <row r="18" spans="1:8" ht="34.200000000000003">
      <c r="A18" s="318"/>
      <c r="B18" s="923"/>
      <c r="C18" s="333" t="s">
        <v>420</v>
      </c>
      <c r="D18" s="331" t="s">
        <v>1219</v>
      </c>
      <c r="E18" s="332" t="s">
        <v>1220</v>
      </c>
      <c r="F18" s="344" t="s">
        <v>472</v>
      </c>
      <c r="G18" s="332" t="s">
        <v>1221</v>
      </c>
      <c r="H18" s="604" t="s">
        <v>472</v>
      </c>
    </row>
    <row r="19" spans="1:8" ht="89.4" customHeight="1">
      <c r="A19" s="318"/>
      <c r="B19" s="920" t="s">
        <v>1222</v>
      </c>
      <c r="C19" s="331" t="s">
        <v>420</v>
      </c>
      <c r="D19" s="331" t="s">
        <v>1223</v>
      </c>
      <c r="E19" s="331" t="s">
        <v>1224</v>
      </c>
      <c r="F19" s="343" t="s">
        <v>434</v>
      </c>
      <c r="G19" s="331" t="s">
        <v>1225</v>
      </c>
      <c r="H19" s="343" t="s">
        <v>434</v>
      </c>
    </row>
    <row r="20" spans="1:8" ht="74.400000000000006" customHeight="1">
      <c r="A20" s="318"/>
      <c r="B20" s="922"/>
      <c r="C20" s="331" t="s">
        <v>420</v>
      </c>
      <c r="D20" s="331" t="s">
        <v>1226</v>
      </c>
      <c r="E20" s="332" t="s">
        <v>1227</v>
      </c>
      <c r="F20" s="342" t="s">
        <v>434</v>
      </c>
      <c r="G20" s="197" t="s">
        <v>1228</v>
      </c>
      <c r="H20" s="342" t="s">
        <v>434</v>
      </c>
    </row>
    <row r="21" spans="1:8" ht="73.95" customHeight="1">
      <c r="A21" s="318"/>
      <c r="B21" s="921"/>
      <c r="C21" s="331" t="s">
        <v>326</v>
      </c>
      <c r="D21" s="331" t="s">
        <v>1229</v>
      </c>
      <c r="E21" s="331" t="s">
        <v>1230</v>
      </c>
      <c r="F21" s="343" t="s">
        <v>434</v>
      </c>
      <c r="G21" s="331" t="s">
        <v>1231</v>
      </c>
      <c r="H21" s="343" t="s">
        <v>434</v>
      </c>
    </row>
    <row r="22" spans="1:8" ht="40.950000000000003" customHeight="1">
      <c r="A22" s="318"/>
      <c r="B22" s="335" t="s">
        <v>1232</v>
      </c>
      <c r="C22" s="331" t="s">
        <v>420</v>
      </c>
      <c r="D22" s="331" t="s">
        <v>1233</v>
      </c>
      <c r="E22" s="331" t="s">
        <v>1234</v>
      </c>
      <c r="F22" s="342" t="s">
        <v>434</v>
      </c>
      <c r="G22" s="331" t="s">
        <v>1235</v>
      </c>
      <c r="H22" s="343" t="s">
        <v>434</v>
      </c>
    </row>
    <row r="23" spans="1:8">
      <c r="A23" s="318"/>
      <c r="B23" s="336" t="s">
        <v>1236</v>
      </c>
      <c r="C23" s="324"/>
      <c r="D23" s="325"/>
      <c r="E23" s="325"/>
      <c r="F23" s="325"/>
      <c r="G23" s="325"/>
      <c r="H23" s="326"/>
    </row>
    <row r="24" spans="1:8" ht="34.200000000000003">
      <c r="A24" s="318"/>
      <c r="B24" s="335" t="s">
        <v>1237</v>
      </c>
      <c r="C24" s="331" t="s">
        <v>445</v>
      </c>
      <c r="D24" s="331" t="s">
        <v>1238</v>
      </c>
      <c r="E24" s="332" t="s">
        <v>1239</v>
      </c>
      <c r="F24" s="343" t="s">
        <v>434</v>
      </c>
      <c r="G24" s="332" t="s">
        <v>1240</v>
      </c>
      <c r="H24" s="342" t="s">
        <v>434</v>
      </c>
    </row>
    <row r="25" spans="1:8">
      <c r="A25" s="318"/>
      <c r="B25" s="336" t="s">
        <v>1241</v>
      </c>
      <c r="C25" s="324"/>
      <c r="D25" s="325"/>
      <c r="E25" s="325"/>
      <c r="F25" s="325"/>
      <c r="G25" s="325"/>
      <c r="H25" s="326"/>
    </row>
    <row r="26" spans="1:8" ht="52.2" customHeight="1">
      <c r="A26" s="318"/>
      <c r="B26" s="920" t="s">
        <v>1242</v>
      </c>
      <c r="C26" s="331" t="s">
        <v>420</v>
      </c>
      <c r="D26" s="331" t="s">
        <v>1243</v>
      </c>
      <c r="E26" s="331" t="s">
        <v>1244</v>
      </c>
      <c r="F26" s="342" t="s">
        <v>434</v>
      </c>
      <c r="G26" s="331" t="s">
        <v>1244</v>
      </c>
      <c r="H26" s="342" t="s">
        <v>434</v>
      </c>
    </row>
    <row r="27" spans="1:8" ht="45.6">
      <c r="A27" s="318"/>
      <c r="B27" s="922"/>
      <c r="C27" s="331" t="s">
        <v>420</v>
      </c>
      <c r="D27" s="331" t="s">
        <v>1245</v>
      </c>
      <c r="E27" s="332" t="s">
        <v>1246</v>
      </c>
      <c r="F27" s="343" t="s">
        <v>434</v>
      </c>
      <c r="G27" s="31" t="s">
        <v>1247</v>
      </c>
      <c r="H27" s="343" t="s">
        <v>434</v>
      </c>
    </row>
    <row r="28" spans="1:8" ht="78.599999999999994" customHeight="1">
      <c r="A28" s="318"/>
      <c r="B28" s="921"/>
      <c r="C28" s="331" t="s">
        <v>445</v>
      </c>
      <c r="D28" s="331" t="s">
        <v>1248</v>
      </c>
      <c r="E28" s="331" t="s">
        <v>1249</v>
      </c>
      <c r="F28" s="343" t="s">
        <v>434</v>
      </c>
      <c r="G28" s="331" t="s">
        <v>1250</v>
      </c>
      <c r="H28" s="343" t="s">
        <v>434</v>
      </c>
    </row>
    <row r="29" spans="1:8" ht="45.6">
      <c r="A29" s="318"/>
      <c r="B29" s="920" t="s">
        <v>1251</v>
      </c>
      <c r="C29" s="331" t="s">
        <v>445</v>
      </c>
      <c r="D29" s="331" t="s">
        <v>1252</v>
      </c>
      <c r="E29" s="332" t="s">
        <v>1253</v>
      </c>
      <c r="F29" s="343" t="s">
        <v>434</v>
      </c>
      <c r="G29" s="332" t="s">
        <v>1254</v>
      </c>
      <c r="H29" s="342" t="s">
        <v>434</v>
      </c>
    </row>
    <row r="30" spans="1:8" ht="68.7" customHeight="1">
      <c r="A30" s="318"/>
      <c r="B30" s="922" t="s">
        <v>1255</v>
      </c>
      <c r="C30" s="334" t="s">
        <v>420</v>
      </c>
      <c r="D30" s="331" t="s">
        <v>1256</v>
      </c>
      <c r="E30" s="332" t="s">
        <v>1257</v>
      </c>
      <c r="F30" s="345" t="s">
        <v>434</v>
      </c>
      <c r="G30" s="332" t="s">
        <v>1258</v>
      </c>
      <c r="H30" s="343" t="s">
        <v>434</v>
      </c>
    </row>
    <row r="31" spans="1:8" ht="94.2" customHeight="1">
      <c r="A31" s="318"/>
      <c r="B31" s="920" t="s">
        <v>1259</v>
      </c>
      <c r="C31" s="334" t="s">
        <v>326</v>
      </c>
      <c r="D31" s="331" t="s">
        <v>1260</v>
      </c>
      <c r="E31" s="332" t="s">
        <v>1261</v>
      </c>
      <c r="F31" s="344" t="s">
        <v>472</v>
      </c>
      <c r="G31" s="332" t="s">
        <v>1262</v>
      </c>
      <c r="H31" s="604" t="s">
        <v>472</v>
      </c>
    </row>
    <row r="32" spans="1:8" ht="51" customHeight="1">
      <c r="A32" s="318"/>
      <c r="B32" s="922"/>
      <c r="C32" s="331" t="s">
        <v>326</v>
      </c>
      <c r="D32" s="331" t="s">
        <v>1263</v>
      </c>
      <c r="E32" s="332" t="s">
        <v>1264</v>
      </c>
      <c r="F32" s="343" t="s">
        <v>434</v>
      </c>
      <c r="G32" s="332" t="s">
        <v>1265</v>
      </c>
      <c r="H32" s="343" t="s">
        <v>434</v>
      </c>
    </row>
    <row r="33" spans="1:8" ht="22.8">
      <c r="A33" s="318"/>
      <c r="B33" s="922"/>
      <c r="C33" s="331" t="s">
        <v>420</v>
      </c>
      <c r="D33" s="331" t="s">
        <v>1266</v>
      </c>
      <c r="E33" s="332" t="s">
        <v>1267</v>
      </c>
      <c r="F33" s="345" t="s">
        <v>434</v>
      </c>
      <c r="G33" s="332" t="s">
        <v>1221</v>
      </c>
      <c r="H33" s="604" t="s">
        <v>472</v>
      </c>
    </row>
    <row r="34" spans="1:8" ht="55.2" customHeight="1">
      <c r="A34" s="318"/>
      <c r="B34" s="921"/>
      <c r="C34" s="331" t="s">
        <v>445</v>
      </c>
      <c r="D34" s="331" t="s">
        <v>1268</v>
      </c>
      <c r="E34" s="331" t="s">
        <v>1269</v>
      </c>
      <c r="F34" s="343" t="s">
        <v>434</v>
      </c>
      <c r="G34" s="331" t="s">
        <v>1270</v>
      </c>
      <c r="H34" s="343" t="s">
        <v>434</v>
      </c>
    </row>
    <row r="35" spans="1:8" ht="76.8" customHeight="1">
      <c r="A35" s="318"/>
      <c r="B35" s="920" t="s">
        <v>1271</v>
      </c>
      <c r="C35" s="334" t="s">
        <v>326</v>
      </c>
      <c r="D35" s="331" t="s">
        <v>1272</v>
      </c>
      <c r="E35" s="332" t="s">
        <v>1273</v>
      </c>
      <c r="F35" s="343" t="s">
        <v>434</v>
      </c>
      <c r="G35" s="332" t="s">
        <v>1274</v>
      </c>
      <c r="H35" s="343" t="s">
        <v>434</v>
      </c>
    </row>
    <row r="36" spans="1:8" ht="45.6">
      <c r="A36" s="318"/>
      <c r="B36" s="921"/>
      <c r="C36" s="331" t="s">
        <v>420</v>
      </c>
      <c r="D36" s="331" t="s">
        <v>1275</v>
      </c>
      <c r="E36" s="331" t="s">
        <v>1276</v>
      </c>
      <c r="F36" s="343" t="s">
        <v>434</v>
      </c>
      <c r="G36" s="197" t="s">
        <v>1277</v>
      </c>
      <c r="H36" s="343" t="s">
        <v>434</v>
      </c>
    </row>
    <row r="37" spans="1:8">
      <c r="A37" s="318"/>
      <c r="B37" s="324" t="s">
        <v>1278</v>
      </c>
      <c r="C37" s="324"/>
      <c r="D37" s="325"/>
      <c r="E37" s="325"/>
      <c r="F37" s="325"/>
      <c r="G37" s="325"/>
      <c r="H37" s="326"/>
    </row>
    <row r="38" spans="1:8" ht="39" customHeight="1">
      <c r="A38" s="318"/>
      <c r="B38" s="337" t="s">
        <v>1279</v>
      </c>
      <c r="C38" s="334" t="s">
        <v>326</v>
      </c>
      <c r="D38" s="331" t="s">
        <v>1280</v>
      </c>
      <c r="E38" s="332" t="s">
        <v>1281</v>
      </c>
      <c r="F38" s="343" t="s">
        <v>434</v>
      </c>
      <c r="G38" s="332" t="s">
        <v>1282</v>
      </c>
      <c r="H38" s="343" t="s">
        <v>434</v>
      </c>
    </row>
    <row r="39" spans="1:8" ht="28.2" customHeight="1">
      <c r="A39" s="318"/>
      <c r="B39" s="920" t="s">
        <v>1283</v>
      </c>
      <c r="C39" s="331" t="s">
        <v>420</v>
      </c>
      <c r="D39" s="331" t="s">
        <v>1284</v>
      </c>
      <c r="E39" s="331" t="s">
        <v>1285</v>
      </c>
      <c r="F39" s="343" t="s">
        <v>434</v>
      </c>
      <c r="G39" s="331" t="s">
        <v>1286</v>
      </c>
      <c r="H39" s="343" t="s">
        <v>434</v>
      </c>
    </row>
    <row r="40" spans="1:8" ht="60" customHeight="1">
      <c r="A40" s="318"/>
      <c r="B40" s="922"/>
      <c r="C40" s="334" t="s">
        <v>445</v>
      </c>
      <c r="D40" s="331" t="s">
        <v>1287</v>
      </c>
      <c r="E40" s="332" t="s">
        <v>1288</v>
      </c>
      <c r="F40" s="343" t="s">
        <v>434</v>
      </c>
      <c r="G40" s="197" t="s">
        <v>1289</v>
      </c>
      <c r="H40" s="343" t="s">
        <v>434</v>
      </c>
    </row>
    <row r="41" spans="1:8" ht="25.2" customHeight="1">
      <c r="A41" s="318"/>
      <c r="B41" s="922"/>
      <c r="C41" s="334" t="s">
        <v>445</v>
      </c>
      <c r="D41" s="331" t="s">
        <v>1290</v>
      </c>
      <c r="E41" s="332" t="s">
        <v>1291</v>
      </c>
      <c r="F41" s="343" t="s">
        <v>434</v>
      </c>
      <c r="G41" s="332" t="s">
        <v>1292</v>
      </c>
      <c r="H41" s="342" t="s">
        <v>434</v>
      </c>
    </row>
    <row r="42" spans="1:8">
      <c r="A42" s="318"/>
      <c r="B42" s="324" t="s">
        <v>1293</v>
      </c>
      <c r="C42" s="324"/>
      <c r="D42" s="325"/>
      <c r="E42" s="325"/>
      <c r="F42" s="325"/>
      <c r="G42" s="325"/>
      <c r="H42" s="326"/>
    </row>
    <row r="43" spans="1:8" ht="64.95" customHeight="1">
      <c r="A43" s="318"/>
      <c r="B43" s="920" t="s">
        <v>1294</v>
      </c>
      <c r="C43" s="334" t="s">
        <v>445</v>
      </c>
      <c r="D43" s="331" t="s">
        <v>1295</v>
      </c>
      <c r="E43" s="332" t="s">
        <v>1296</v>
      </c>
      <c r="F43" s="343" t="s">
        <v>434</v>
      </c>
      <c r="G43" s="31" t="s">
        <v>1297</v>
      </c>
      <c r="H43" s="342" t="s">
        <v>434</v>
      </c>
    </row>
    <row r="44" spans="1:8" ht="119.4" customHeight="1">
      <c r="A44" s="318"/>
      <c r="B44" s="922"/>
      <c r="C44" s="334" t="s">
        <v>420</v>
      </c>
      <c r="D44" s="331" t="s">
        <v>1298</v>
      </c>
      <c r="E44" s="332" t="s">
        <v>1299</v>
      </c>
      <c r="F44" s="342" t="s">
        <v>434</v>
      </c>
      <c r="G44" s="31" t="s">
        <v>1300</v>
      </c>
      <c r="H44" s="342" t="s">
        <v>434</v>
      </c>
    </row>
    <row r="45" spans="1:8" ht="45.6">
      <c r="A45" s="318"/>
      <c r="B45" s="920" t="s">
        <v>1301</v>
      </c>
      <c r="C45" s="331" t="s">
        <v>420</v>
      </c>
      <c r="D45" s="331" t="s">
        <v>1302</v>
      </c>
      <c r="E45" s="332" t="s">
        <v>1303</v>
      </c>
      <c r="F45" s="343" t="s">
        <v>434</v>
      </c>
      <c r="G45" s="332" t="s">
        <v>1304</v>
      </c>
      <c r="H45" s="342" t="s">
        <v>434</v>
      </c>
    </row>
    <row r="46" spans="1:8" ht="68.400000000000006">
      <c r="A46" s="318"/>
      <c r="B46" s="921"/>
      <c r="C46" s="331" t="s">
        <v>326</v>
      </c>
      <c r="D46" s="331" t="s">
        <v>1305</v>
      </c>
      <c r="E46" s="332" t="s">
        <v>1306</v>
      </c>
      <c r="F46" s="343" t="s">
        <v>434</v>
      </c>
      <c r="G46" s="332" t="s">
        <v>1307</v>
      </c>
      <c r="H46" s="342" t="s">
        <v>434</v>
      </c>
    </row>
    <row r="47" spans="1:8" ht="80.400000000000006" customHeight="1">
      <c r="A47" s="318"/>
      <c r="B47" s="920" t="s">
        <v>1308</v>
      </c>
      <c r="C47" s="334" t="s">
        <v>420</v>
      </c>
      <c r="D47" s="331" t="s">
        <v>1309</v>
      </c>
      <c r="E47" s="332" t="s">
        <v>1310</v>
      </c>
      <c r="F47" s="343" t="s">
        <v>434</v>
      </c>
      <c r="G47" s="332" t="s">
        <v>1311</v>
      </c>
      <c r="H47" s="342" t="s">
        <v>434</v>
      </c>
    </row>
    <row r="48" spans="1:8" ht="50.4" customHeight="1">
      <c r="A48" s="318"/>
      <c r="B48" s="922"/>
      <c r="C48" s="331" t="s">
        <v>420</v>
      </c>
      <c r="D48" s="331" t="s">
        <v>1312</v>
      </c>
      <c r="E48" s="332" t="s">
        <v>1313</v>
      </c>
      <c r="F48" s="342" t="s">
        <v>434</v>
      </c>
      <c r="G48" s="332" t="s">
        <v>1314</v>
      </c>
      <c r="H48" s="342" t="s">
        <v>434</v>
      </c>
    </row>
    <row r="49" spans="1:8" ht="43.2" customHeight="1">
      <c r="A49" s="318"/>
      <c r="B49" s="922"/>
      <c r="C49" s="328" t="s">
        <v>326</v>
      </c>
      <c r="D49" s="338" t="s">
        <v>1315</v>
      </c>
      <c r="E49" s="339" t="s">
        <v>1316</v>
      </c>
      <c r="F49" s="343" t="s">
        <v>434</v>
      </c>
      <c r="G49" s="339" t="s">
        <v>1317</v>
      </c>
      <c r="H49" s="773" t="s">
        <v>434</v>
      </c>
    </row>
    <row r="50" spans="1:8" ht="48" customHeight="1">
      <c r="A50" s="318"/>
      <c r="B50" s="921"/>
      <c r="C50" s="331" t="s">
        <v>326</v>
      </c>
      <c r="D50" s="331" t="s">
        <v>1318</v>
      </c>
      <c r="E50" s="332" t="s">
        <v>1319</v>
      </c>
      <c r="F50" s="343" t="s">
        <v>434</v>
      </c>
      <c r="G50" s="772" t="s">
        <v>1320</v>
      </c>
      <c r="H50" s="343" t="s">
        <v>434</v>
      </c>
    </row>
    <row r="51" spans="1:8">
      <c r="A51" s="318"/>
      <c r="B51" s="318"/>
      <c r="C51" s="319"/>
      <c r="D51" s="318"/>
      <c r="E51" s="318"/>
      <c r="F51" s="318"/>
      <c r="G51" s="319"/>
    </row>
    <row r="52" spans="1:8" ht="36" customHeight="1">
      <c r="A52" s="318"/>
      <c r="B52" s="919" t="s">
        <v>1704</v>
      </c>
      <c r="C52" s="919"/>
      <c r="D52" s="919"/>
      <c r="E52" s="919"/>
      <c r="F52" s="919"/>
      <c r="G52" s="919"/>
      <c r="H52" s="919"/>
    </row>
    <row r="53" spans="1:8">
      <c r="A53" s="318"/>
      <c r="B53" s="318"/>
      <c r="C53" s="319"/>
      <c r="D53" s="318"/>
      <c r="E53" s="318"/>
      <c r="F53" s="318"/>
      <c r="G53" s="319"/>
    </row>
    <row r="54" spans="1:8">
      <c r="A54" s="318"/>
      <c r="B54" s="318"/>
      <c r="C54" s="319"/>
      <c r="D54" s="318"/>
      <c r="E54" s="318"/>
      <c r="F54" s="318"/>
      <c r="G54" s="319"/>
    </row>
    <row r="55" spans="1:8">
      <c r="A55" s="318"/>
      <c r="B55" s="318"/>
      <c r="C55" s="319"/>
      <c r="D55" s="318"/>
      <c r="E55" s="318"/>
      <c r="F55" s="318"/>
      <c r="G55" s="319"/>
    </row>
    <row r="56" spans="1:8">
      <c r="A56" s="318"/>
      <c r="B56" s="318"/>
      <c r="C56" s="319"/>
      <c r="D56" s="318"/>
      <c r="E56" s="318"/>
      <c r="F56" s="318"/>
      <c r="G56" s="319"/>
    </row>
    <row r="57" spans="1:8">
      <c r="A57" s="318"/>
      <c r="B57" s="318"/>
      <c r="C57" s="319"/>
      <c r="D57" s="318"/>
      <c r="E57" s="318"/>
      <c r="F57" s="318"/>
      <c r="G57" s="319"/>
    </row>
    <row r="58" spans="1:8">
      <c r="A58" s="318"/>
      <c r="B58" s="318"/>
      <c r="C58" s="319"/>
      <c r="D58" s="318"/>
      <c r="E58" s="318"/>
      <c r="F58" s="318"/>
      <c r="G58" s="319"/>
    </row>
    <row r="59" spans="1:8">
      <c r="A59" s="318"/>
      <c r="B59" s="318"/>
      <c r="C59" s="319"/>
      <c r="D59" s="318"/>
      <c r="E59" s="318"/>
      <c r="F59" s="318"/>
      <c r="G59" s="319"/>
    </row>
    <row r="60" spans="1:8">
      <c r="A60" s="318"/>
      <c r="B60" s="318"/>
      <c r="C60" s="319"/>
      <c r="D60" s="318"/>
      <c r="E60" s="318"/>
      <c r="F60" s="318"/>
      <c r="G60" s="319"/>
    </row>
    <row r="61" spans="1:8">
      <c r="A61" s="318"/>
      <c r="B61" s="318"/>
      <c r="C61" s="319"/>
      <c r="D61" s="318"/>
      <c r="E61" s="318"/>
      <c r="F61" s="318"/>
      <c r="G61" s="319"/>
    </row>
    <row r="62" spans="1:8">
      <c r="A62" s="318"/>
      <c r="B62" s="318"/>
      <c r="C62" s="319"/>
      <c r="D62" s="318"/>
      <c r="E62" s="318"/>
      <c r="F62" s="318"/>
      <c r="G62" s="319"/>
    </row>
    <row r="63" spans="1:8">
      <c r="A63" s="318"/>
      <c r="B63" s="318"/>
      <c r="C63" s="319"/>
      <c r="D63" s="318"/>
      <c r="E63" s="318"/>
      <c r="F63" s="318"/>
      <c r="G63" s="319"/>
    </row>
    <row r="64" spans="1:8">
      <c r="A64" s="318"/>
      <c r="B64" s="318"/>
      <c r="C64" s="319"/>
      <c r="D64" s="318"/>
      <c r="E64" s="318"/>
      <c r="F64" s="318"/>
      <c r="G64" s="319"/>
    </row>
    <row r="65" spans="1:7">
      <c r="A65" s="318"/>
      <c r="B65" s="318"/>
      <c r="C65" s="319"/>
      <c r="D65" s="318"/>
      <c r="E65" s="318"/>
      <c r="F65" s="318"/>
      <c r="G65" s="319"/>
    </row>
    <row r="66" spans="1:7">
      <c r="A66" s="318"/>
      <c r="B66" s="318"/>
      <c r="C66" s="319"/>
      <c r="D66" s="318"/>
      <c r="E66" s="318"/>
      <c r="F66" s="318"/>
      <c r="G66" s="319"/>
    </row>
    <row r="67" spans="1:7">
      <c r="A67" s="318"/>
      <c r="B67" s="318"/>
      <c r="C67" s="319"/>
      <c r="D67" s="318"/>
      <c r="E67" s="318"/>
      <c r="F67" s="318"/>
      <c r="G67" s="319"/>
    </row>
    <row r="68" spans="1:7">
      <c r="A68" s="318"/>
      <c r="B68" s="318"/>
      <c r="C68" s="319"/>
      <c r="D68" s="318"/>
      <c r="E68" s="318"/>
      <c r="F68" s="318"/>
      <c r="G68" s="319"/>
    </row>
    <row r="69" spans="1:7">
      <c r="A69" s="318"/>
      <c r="B69" s="318"/>
      <c r="C69" s="319"/>
      <c r="D69" s="318"/>
      <c r="E69" s="318"/>
      <c r="F69" s="318"/>
      <c r="G69" s="319"/>
    </row>
    <row r="70" spans="1:7">
      <c r="A70" s="318"/>
      <c r="B70" s="318"/>
      <c r="C70" s="319"/>
      <c r="D70" s="318"/>
      <c r="E70" s="318"/>
      <c r="F70" s="318"/>
      <c r="G70" s="319"/>
    </row>
    <row r="71" spans="1:7">
      <c r="A71" s="318"/>
      <c r="B71" s="318"/>
      <c r="C71" s="319"/>
      <c r="D71" s="318"/>
      <c r="E71" s="318"/>
      <c r="F71" s="318"/>
      <c r="G71" s="319"/>
    </row>
    <row r="72" spans="1:7">
      <c r="A72" s="318"/>
      <c r="B72" s="318"/>
      <c r="C72" s="319"/>
      <c r="D72" s="318"/>
      <c r="E72" s="318"/>
      <c r="F72" s="318"/>
      <c r="G72" s="319"/>
    </row>
    <row r="73" spans="1:7">
      <c r="A73" s="318"/>
      <c r="B73" s="318"/>
      <c r="C73" s="319"/>
      <c r="D73" s="318"/>
      <c r="E73" s="318"/>
      <c r="F73" s="318"/>
      <c r="G73" s="319"/>
    </row>
    <row r="74" spans="1:7">
      <c r="A74" s="318"/>
      <c r="B74" s="318"/>
      <c r="C74" s="319"/>
      <c r="D74" s="318"/>
      <c r="E74" s="318"/>
      <c r="F74" s="318"/>
      <c r="G74" s="319"/>
    </row>
    <row r="75" spans="1:7">
      <c r="A75" s="318"/>
      <c r="B75" s="318"/>
      <c r="C75" s="319"/>
      <c r="D75" s="318"/>
      <c r="E75" s="318"/>
      <c r="F75" s="318"/>
      <c r="G75" s="319"/>
    </row>
    <row r="76" spans="1:7">
      <c r="A76" s="318"/>
      <c r="B76" s="318"/>
      <c r="C76" s="319"/>
      <c r="D76" s="318"/>
      <c r="E76" s="318"/>
      <c r="F76" s="318"/>
      <c r="G76" s="319"/>
    </row>
    <row r="77" spans="1:7">
      <c r="A77" s="318"/>
      <c r="B77" s="318"/>
      <c r="C77" s="319"/>
      <c r="D77" s="318"/>
      <c r="E77" s="318"/>
      <c r="F77" s="318"/>
      <c r="G77" s="319"/>
    </row>
    <row r="78" spans="1:7">
      <c r="A78" s="318"/>
      <c r="B78" s="318"/>
      <c r="C78" s="319"/>
      <c r="D78" s="318"/>
      <c r="E78" s="318"/>
      <c r="F78" s="318"/>
      <c r="G78" s="319"/>
    </row>
    <row r="79" spans="1:7">
      <c r="A79" s="318"/>
      <c r="B79" s="318"/>
      <c r="C79" s="319"/>
      <c r="D79" s="318"/>
      <c r="E79" s="318"/>
      <c r="F79" s="318"/>
      <c r="G79" s="319"/>
    </row>
    <row r="80" spans="1:7">
      <c r="A80" s="318"/>
      <c r="B80" s="318"/>
      <c r="C80" s="319"/>
      <c r="D80" s="318"/>
      <c r="E80" s="318"/>
      <c r="F80" s="318"/>
      <c r="G80" s="319"/>
    </row>
    <row r="81" spans="1:7">
      <c r="A81" s="318"/>
      <c r="B81" s="318"/>
      <c r="C81" s="319"/>
      <c r="D81" s="318"/>
      <c r="E81" s="318"/>
      <c r="F81" s="318"/>
      <c r="G81" s="319"/>
    </row>
    <row r="82" spans="1:7">
      <c r="A82" s="318"/>
      <c r="B82" s="318"/>
      <c r="C82" s="319"/>
      <c r="D82" s="318"/>
      <c r="E82" s="318"/>
      <c r="F82" s="318"/>
      <c r="G82" s="319"/>
    </row>
    <row r="83" spans="1:7">
      <c r="A83" s="318"/>
      <c r="B83" s="318"/>
      <c r="C83" s="319"/>
      <c r="D83" s="318"/>
      <c r="E83" s="318"/>
      <c r="F83" s="318"/>
      <c r="G83" s="319"/>
    </row>
    <row r="84" spans="1:7">
      <c r="A84" s="318"/>
      <c r="B84" s="318"/>
      <c r="C84" s="319"/>
      <c r="D84" s="318"/>
      <c r="E84" s="318"/>
      <c r="F84" s="318"/>
      <c r="G84" s="319"/>
    </row>
    <row r="85" spans="1:7">
      <c r="A85" s="318"/>
      <c r="B85" s="318"/>
      <c r="C85" s="319"/>
      <c r="D85" s="318"/>
      <c r="E85" s="318"/>
      <c r="F85" s="318"/>
      <c r="G85" s="319"/>
    </row>
    <row r="86" spans="1:7">
      <c r="A86" s="318"/>
      <c r="B86" s="318"/>
      <c r="C86" s="319"/>
      <c r="D86" s="318"/>
      <c r="E86" s="318"/>
      <c r="F86" s="318"/>
      <c r="G86" s="319"/>
    </row>
    <row r="87" spans="1:7">
      <c r="A87" s="318"/>
      <c r="B87" s="318"/>
      <c r="C87" s="319"/>
      <c r="D87" s="318"/>
      <c r="E87" s="318"/>
      <c r="F87" s="318"/>
      <c r="G87" s="319"/>
    </row>
    <row r="88" spans="1:7">
      <c r="A88" s="318"/>
      <c r="B88" s="318"/>
      <c r="C88" s="319"/>
      <c r="D88" s="318"/>
      <c r="E88" s="318"/>
      <c r="F88" s="318"/>
      <c r="G88" s="319"/>
    </row>
    <row r="89" spans="1:7">
      <c r="A89" s="318"/>
      <c r="B89" s="318"/>
      <c r="C89" s="319"/>
      <c r="D89" s="318"/>
      <c r="E89" s="318"/>
      <c r="F89" s="318"/>
      <c r="G89" s="319"/>
    </row>
    <row r="90" spans="1:7">
      <c r="A90" s="318"/>
      <c r="B90" s="318"/>
      <c r="C90" s="319"/>
      <c r="D90" s="318"/>
      <c r="E90" s="318"/>
      <c r="F90" s="318"/>
      <c r="G90" s="319"/>
    </row>
    <row r="91" spans="1:7">
      <c r="A91" s="318"/>
      <c r="B91" s="318"/>
      <c r="C91" s="319"/>
      <c r="D91" s="318"/>
      <c r="E91" s="318"/>
      <c r="F91" s="318"/>
      <c r="G91" s="319"/>
    </row>
    <row r="92" spans="1:7">
      <c r="A92" s="318"/>
      <c r="B92" s="318"/>
      <c r="C92" s="319"/>
      <c r="D92" s="318"/>
      <c r="E92" s="318"/>
      <c r="F92" s="318"/>
      <c r="G92" s="319"/>
    </row>
    <row r="93" spans="1:7">
      <c r="A93" s="318"/>
      <c r="B93" s="318"/>
      <c r="C93" s="319"/>
      <c r="D93" s="318"/>
      <c r="E93" s="318"/>
      <c r="F93" s="318"/>
      <c r="G93" s="319"/>
    </row>
    <row r="94" spans="1:7">
      <c r="A94" s="318"/>
      <c r="B94" s="318"/>
      <c r="C94" s="319"/>
      <c r="D94" s="318"/>
      <c r="E94" s="318"/>
      <c r="F94" s="318"/>
      <c r="G94" s="319"/>
    </row>
    <row r="95" spans="1:7">
      <c r="A95" s="318"/>
      <c r="B95" s="318"/>
      <c r="C95" s="319"/>
      <c r="D95" s="318"/>
      <c r="E95" s="318"/>
      <c r="F95" s="318"/>
      <c r="G95" s="319"/>
    </row>
    <row r="96" spans="1:7">
      <c r="A96" s="318"/>
      <c r="B96" s="318"/>
      <c r="C96" s="319"/>
      <c r="D96" s="318"/>
      <c r="E96" s="318"/>
      <c r="F96" s="318"/>
      <c r="G96" s="319"/>
    </row>
    <row r="97" spans="1:7">
      <c r="A97" s="318"/>
      <c r="B97" s="318"/>
      <c r="C97" s="319"/>
      <c r="D97" s="318"/>
      <c r="E97" s="318"/>
      <c r="F97" s="318"/>
      <c r="G97" s="319"/>
    </row>
    <row r="98" spans="1:7">
      <c r="A98" s="318"/>
      <c r="B98" s="318"/>
      <c r="C98" s="319"/>
      <c r="D98" s="318"/>
      <c r="E98" s="318"/>
      <c r="F98" s="318"/>
      <c r="G98" s="319"/>
    </row>
    <row r="99" spans="1:7">
      <c r="A99" s="318"/>
      <c r="B99" s="318"/>
      <c r="C99" s="319"/>
      <c r="D99" s="318"/>
      <c r="E99" s="318"/>
      <c r="F99" s="318"/>
      <c r="G99" s="319"/>
    </row>
    <row r="100" spans="1:7">
      <c r="A100" s="318"/>
      <c r="B100" s="318"/>
      <c r="C100" s="319"/>
      <c r="D100" s="318"/>
      <c r="E100" s="318"/>
      <c r="F100" s="318"/>
      <c r="G100" s="319"/>
    </row>
    <row r="101" spans="1:7">
      <c r="A101" s="318"/>
      <c r="B101" s="318"/>
      <c r="C101" s="319"/>
      <c r="D101" s="318"/>
      <c r="E101" s="318"/>
      <c r="F101" s="318"/>
      <c r="G101" s="319"/>
    </row>
    <row r="102" spans="1:7">
      <c r="A102" s="318"/>
      <c r="B102" s="318"/>
      <c r="C102" s="319"/>
      <c r="D102" s="318"/>
      <c r="E102" s="318"/>
      <c r="F102" s="318"/>
      <c r="G102" s="319"/>
    </row>
    <row r="103" spans="1:7">
      <c r="A103" s="318"/>
      <c r="B103" s="318"/>
      <c r="C103" s="319"/>
      <c r="D103" s="318"/>
      <c r="E103" s="318"/>
      <c r="F103" s="318"/>
      <c r="G103" s="319"/>
    </row>
    <row r="104" spans="1:7">
      <c r="A104" s="318"/>
      <c r="B104" s="318"/>
      <c r="C104" s="319"/>
      <c r="D104" s="318"/>
      <c r="E104" s="318"/>
      <c r="F104" s="318"/>
      <c r="G104" s="319"/>
    </row>
    <row r="105" spans="1:7">
      <c r="A105" s="318"/>
      <c r="B105" s="318"/>
      <c r="C105" s="319"/>
      <c r="D105" s="318"/>
      <c r="E105" s="318"/>
      <c r="F105" s="318"/>
      <c r="G105" s="319"/>
    </row>
    <row r="106" spans="1:7">
      <c r="A106" s="318"/>
      <c r="B106" s="318"/>
      <c r="C106" s="319"/>
      <c r="D106" s="318"/>
      <c r="E106" s="318"/>
      <c r="F106" s="318"/>
      <c r="G106" s="319"/>
    </row>
    <row r="107" spans="1:7">
      <c r="A107" s="318"/>
      <c r="B107" s="318"/>
      <c r="C107" s="319"/>
      <c r="D107" s="318"/>
      <c r="E107" s="318"/>
      <c r="F107" s="318"/>
      <c r="G107" s="319"/>
    </row>
    <row r="108" spans="1:7">
      <c r="A108" s="318"/>
      <c r="B108" s="318"/>
      <c r="C108" s="319"/>
      <c r="D108" s="318"/>
      <c r="E108" s="318"/>
      <c r="F108" s="318"/>
      <c r="G108" s="319"/>
    </row>
    <row r="109" spans="1:7">
      <c r="A109" s="318"/>
      <c r="B109" s="318"/>
      <c r="C109" s="319"/>
      <c r="D109" s="318"/>
      <c r="E109" s="318"/>
      <c r="F109" s="318"/>
      <c r="G109" s="319"/>
    </row>
    <row r="110" spans="1:7">
      <c r="A110" s="318"/>
      <c r="B110" s="318"/>
      <c r="C110" s="319"/>
      <c r="D110" s="318"/>
      <c r="E110" s="318"/>
      <c r="F110" s="318"/>
      <c r="G110" s="319"/>
    </row>
    <row r="111" spans="1:7">
      <c r="A111" s="318"/>
      <c r="B111" s="318"/>
      <c r="C111" s="319"/>
      <c r="D111" s="318"/>
      <c r="E111" s="318"/>
      <c r="F111" s="318"/>
      <c r="G111" s="319"/>
    </row>
    <row r="112" spans="1:7">
      <c r="A112" s="318"/>
      <c r="B112" s="318"/>
      <c r="C112" s="319"/>
      <c r="D112" s="318"/>
      <c r="E112" s="318"/>
      <c r="F112" s="318"/>
      <c r="G112" s="319"/>
    </row>
    <row r="113" spans="1:7">
      <c r="A113" s="318"/>
      <c r="B113" s="318"/>
      <c r="C113" s="319"/>
      <c r="D113" s="318"/>
      <c r="E113" s="318"/>
      <c r="F113" s="318"/>
      <c r="G113" s="319"/>
    </row>
    <row r="114" spans="1:7">
      <c r="A114" s="318"/>
      <c r="B114" s="318"/>
      <c r="C114" s="319"/>
      <c r="D114" s="318"/>
      <c r="E114" s="318"/>
      <c r="F114" s="318"/>
      <c r="G114" s="319"/>
    </row>
    <row r="115" spans="1:7">
      <c r="A115" s="318"/>
      <c r="B115" s="318"/>
      <c r="C115" s="319"/>
      <c r="D115" s="318"/>
      <c r="E115" s="318"/>
      <c r="F115" s="318"/>
      <c r="G115" s="319"/>
    </row>
    <row r="116" spans="1:7">
      <c r="A116" s="318"/>
      <c r="B116" s="318"/>
      <c r="C116" s="319"/>
      <c r="D116" s="318"/>
      <c r="E116" s="318"/>
      <c r="F116" s="318"/>
      <c r="G116" s="319"/>
    </row>
    <row r="117" spans="1:7">
      <c r="A117" s="318"/>
      <c r="B117" s="318"/>
      <c r="C117" s="319"/>
      <c r="D117" s="318"/>
      <c r="E117" s="318"/>
      <c r="F117" s="318"/>
      <c r="G117" s="319"/>
    </row>
    <row r="118" spans="1:7">
      <c r="A118" s="318"/>
      <c r="B118" s="318"/>
      <c r="C118" s="319"/>
      <c r="D118" s="318"/>
      <c r="E118" s="318"/>
      <c r="F118" s="318"/>
      <c r="G118" s="319"/>
    </row>
    <row r="119" spans="1:7">
      <c r="A119" s="318"/>
      <c r="B119" s="318"/>
      <c r="C119" s="319"/>
      <c r="D119" s="318"/>
      <c r="E119" s="318"/>
      <c r="F119" s="318"/>
      <c r="G119" s="319"/>
    </row>
    <row r="120" spans="1:7">
      <c r="A120" s="318"/>
      <c r="B120" s="318"/>
      <c r="C120" s="319"/>
      <c r="D120" s="318"/>
      <c r="E120" s="318"/>
      <c r="F120" s="318"/>
      <c r="G120" s="319"/>
    </row>
    <row r="121" spans="1:7">
      <c r="A121" s="318"/>
      <c r="B121" s="318"/>
      <c r="C121" s="319"/>
      <c r="D121" s="318"/>
      <c r="E121" s="318"/>
      <c r="F121" s="318"/>
      <c r="G121" s="319"/>
    </row>
    <row r="122" spans="1:7">
      <c r="A122" s="318"/>
      <c r="B122" s="318"/>
      <c r="C122" s="319"/>
      <c r="D122" s="318"/>
      <c r="E122" s="318"/>
      <c r="F122" s="318"/>
      <c r="G122" s="319"/>
    </row>
    <row r="123" spans="1:7">
      <c r="A123" s="318"/>
      <c r="B123" s="318"/>
      <c r="C123" s="319"/>
      <c r="D123" s="318"/>
      <c r="E123" s="318"/>
      <c r="F123" s="318"/>
      <c r="G123" s="319"/>
    </row>
    <row r="124" spans="1:7">
      <c r="A124" s="318"/>
      <c r="B124" s="318"/>
      <c r="C124" s="319"/>
      <c r="D124" s="318"/>
      <c r="E124" s="318"/>
      <c r="F124" s="318"/>
      <c r="G124" s="319"/>
    </row>
    <row r="125" spans="1:7">
      <c r="A125" s="318"/>
      <c r="B125" s="318"/>
      <c r="C125" s="319"/>
      <c r="D125" s="318"/>
      <c r="E125" s="318"/>
      <c r="F125" s="318"/>
      <c r="G125" s="319"/>
    </row>
    <row r="126" spans="1:7">
      <c r="A126" s="318"/>
      <c r="B126" s="318"/>
      <c r="C126" s="319"/>
      <c r="D126" s="318"/>
      <c r="E126" s="318"/>
      <c r="F126" s="318"/>
      <c r="G126" s="319"/>
    </row>
    <row r="127" spans="1:7">
      <c r="A127" s="318"/>
      <c r="B127" s="318"/>
      <c r="C127" s="319"/>
      <c r="D127" s="318"/>
      <c r="E127" s="318"/>
      <c r="F127" s="318"/>
      <c r="G127" s="319"/>
    </row>
    <row r="128" spans="1:7">
      <c r="A128" s="318"/>
      <c r="B128" s="318"/>
      <c r="C128" s="319"/>
      <c r="D128" s="318"/>
      <c r="E128" s="318"/>
      <c r="F128" s="318"/>
      <c r="G128" s="319"/>
    </row>
    <row r="129" spans="1:7">
      <c r="A129" s="318"/>
      <c r="B129" s="318"/>
      <c r="C129" s="319"/>
      <c r="D129" s="318"/>
      <c r="E129" s="318"/>
      <c r="F129" s="318"/>
      <c r="G129" s="319"/>
    </row>
    <row r="130" spans="1:7">
      <c r="A130" s="318"/>
      <c r="B130" s="318"/>
      <c r="C130" s="319"/>
      <c r="D130" s="318"/>
      <c r="E130" s="318"/>
      <c r="F130" s="318"/>
      <c r="G130" s="319"/>
    </row>
    <row r="131" spans="1:7">
      <c r="A131" s="318"/>
      <c r="B131" s="318"/>
      <c r="C131" s="319"/>
      <c r="D131" s="318"/>
      <c r="E131" s="318"/>
      <c r="F131" s="318"/>
      <c r="G131" s="319"/>
    </row>
    <row r="132" spans="1:7">
      <c r="A132" s="318"/>
      <c r="B132" s="318"/>
      <c r="C132" s="319"/>
      <c r="D132" s="318"/>
      <c r="E132" s="318"/>
      <c r="F132" s="318"/>
      <c r="G132" s="319"/>
    </row>
    <row r="133" spans="1:7">
      <c r="A133" s="318"/>
      <c r="B133" s="318"/>
      <c r="C133" s="319"/>
      <c r="D133" s="318"/>
      <c r="E133" s="318"/>
      <c r="F133" s="318"/>
      <c r="G133" s="319"/>
    </row>
    <row r="134" spans="1:7">
      <c r="A134" s="318"/>
      <c r="B134" s="318"/>
      <c r="C134" s="319"/>
      <c r="D134" s="318"/>
      <c r="E134" s="318"/>
      <c r="F134" s="318"/>
      <c r="G134" s="319"/>
    </row>
    <row r="135" spans="1:7">
      <c r="A135" s="318"/>
      <c r="B135" s="318"/>
      <c r="C135" s="319"/>
      <c r="D135" s="318"/>
      <c r="E135" s="318"/>
      <c r="F135" s="318"/>
      <c r="G135" s="319"/>
    </row>
    <row r="136" spans="1:7">
      <c r="A136" s="318"/>
      <c r="B136" s="318"/>
      <c r="C136" s="319"/>
      <c r="D136" s="318"/>
      <c r="E136" s="318"/>
      <c r="F136" s="318"/>
      <c r="G136" s="319"/>
    </row>
    <row r="137" spans="1:7">
      <c r="A137" s="318"/>
      <c r="B137" s="318"/>
      <c r="C137" s="319"/>
      <c r="D137" s="318"/>
      <c r="E137" s="318"/>
      <c r="F137" s="318"/>
      <c r="G137" s="319"/>
    </row>
    <row r="138" spans="1:7">
      <c r="A138" s="318"/>
      <c r="B138" s="318"/>
      <c r="C138" s="319"/>
      <c r="D138" s="318"/>
      <c r="E138" s="318"/>
      <c r="F138" s="318"/>
      <c r="G138" s="319"/>
    </row>
    <row r="139" spans="1:7">
      <c r="A139" s="318"/>
      <c r="B139" s="318"/>
      <c r="C139" s="319"/>
      <c r="D139" s="318"/>
      <c r="E139" s="318"/>
      <c r="F139" s="318"/>
      <c r="G139" s="319"/>
    </row>
    <row r="140" spans="1:7">
      <c r="A140" s="318"/>
      <c r="B140" s="318"/>
      <c r="C140" s="319"/>
      <c r="D140" s="318"/>
      <c r="E140" s="318"/>
      <c r="F140" s="318"/>
      <c r="G140" s="319"/>
    </row>
    <row r="141" spans="1:7">
      <c r="A141" s="318"/>
      <c r="B141" s="318"/>
      <c r="C141" s="319"/>
      <c r="D141" s="318"/>
      <c r="E141" s="318"/>
      <c r="F141" s="318"/>
      <c r="G141" s="319"/>
    </row>
    <row r="142" spans="1:7">
      <c r="A142" s="318"/>
      <c r="B142" s="318"/>
      <c r="C142" s="319"/>
      <c r="D142" s="318"/>
      <c r="E142" s="318"/>
      <c r="F142" s="318"/>
      <c r="G142" s="319"/>
    </row>
    <row r="143" spans="1:7">
      <c r="A143" s="318"/>
      <c r="B143" s="318"/>
      <c r="C143" s="319"/>
      <c r="D143" s="318"/>
      <c r="E143" s="318"/>
      <c r="F143" s="318"/>
      <c r="G143" s="319"/>
    </row>
    <row r="144" spans="1:7">
      <c r="A144" s="318"/>
      <c r="B144" s="318"/>
      <c r="C144" s="319"/>
      <c r="D144" s="318"/>
      <c r="E144" s="318"/>
      <c r="F144" s="318"/>
      <c r="G144" s="319"/>
    </row>
    <row r="145" spans="1:7">
      <c r="A145" s="318"/>
      <c r="B145" s="318"/>
      <c r="C145" s="319"/>
      <c r="D145" s="318"/>
      <c r="E145" s="318"/>
      <c r="F145" s="318"/>
      <c r="G145" s="319"/>
    </row>
    <row r="146" spans="1:7">
      <c r="A146" s="318"/>
      <c r="B146" s="318"/>
      <c r="C146" s="319"/>
      <c r="D146" s="318"/>
      <c r="E146" s="318"/>
      <c r="F146" s="318"/>
      <c r="G146" s="319"/>
    </row>
    <row r="147" spans="1:7">
      <c r="A147" s="318"/>
      <c r="B147" s="318"/>
      <c r="C147" s="319"/>
      <c r="D147" s="318"/>
      <c r="E147" s="318"/>
      <c r="F147" s="318"/>
      <c r="G147" s="319"/>
    </row>
    <row r="148" spans="1:7">
      <c r="A148" s="318"/>
      <c r="B148" s="318"/>
      <c r="C148" s="319"/>
      <c r="D148" s="318"/>
      <c r="E148" s="318"/>
      <c r="F148" s="318"/>
      <c r="G148" s="319"/>
    </row>
    <row r="149" spans="1:7">
      <c r="A149" s="318"/>
      <c r="B149" s="318"/>
      <c r="C149" s="319"/>
      <c r="D149" s="318"/>
      <c r="E149" s="318"/>
      <c r="F149" s="318"/>
      <c r="G149" s="319"/>
    </row>
    <row r="150" spans="1:7">
      <c r="A150" s="318"/>
      <c r="B150" s="318"/>
      <c r="C150" s="319"/>
      <c r="D150" s="318"/>
      <c r="E150" s="318"/>
      <c r="F150" s="318"/>
      <c r="G150" s="319"/>
    </row>
    <row r="151" spans="1:7">
      <c r="A151" s="318"/>
      <c r="B151" s="318"/>
      <c r="C151" s="319"/>
      <c r="D151" s="318"/>
      <c r="E151" s="318"/>
      <c r="F151" s="318"/>
      <c r="G151" s="319"/>
    </row>
    <row r="152" spans="1:7">
      <c r="A152" s="318"/>
      <c r="B152" s="318"/>
      <c r="C152" s="319"/>
      <c r="D152" s="318"/>
      <c r="E152" s="318"/>
      <c r="F152" s="318"/>
      <c r="G152" s="319"/>
    </row>
    <row r="153" spans="1:7">
      <c r="A153" s="318"/>
      <c r="B153" s="318"/>
      <c r="C153" s="319"/>
      <c r="D153" s="318"/>
      <c r="E153" s="318"/>
      <c r="F153" s="318"/>
      <c r="G153" s="319"/>
    </row>
    <row r="154" spans="1:7">
      <c r="A154" s="318"/>
      <c r="B154" s="318"/>
      <c r="C154" s="319"/>
      <c r="D154" s="318"/>
      <c r="E154" s="318"/>
      <c r="F154" s="318"/>
      <c r="G154" s="319"/>
    </row>
    <row r="155" spans="1:7">
      <c r="A155" s="318"/>
      <c r="B155" s="318"/>
      <c r="C155" s="319"/>
      <c r="D155" s="318"/>
      <c r="E155" s="318"/>
      <c r="F155" s="318"/>
      <c r="G155" s="319"/>
    </row>
    <row r="156" spans="1:7">
      <c r="A156" s="318"/>
      <c r="B156" s="318"/>
      <c r="C156" s="319"/>
      <c r="D156" s="318"/>
      <c r="E156" s="318"/>
      <c r="F156" s="318"/>
      <c r="G156" s="319"/>
    </row>
    <row r="157" spans="1:7">
      <c r="A157" s="318"/>
      <c r="B157" s="318"/>
      <c r="C157" s="319"/>
      <c r="D157" s="318"/>
      <c r="E157" s="318"/>
      <c r="F157" s="318"/>
      <c r="G157" s="319"/>
    </row>
    <row r="158" spans="1:7">
      <c r="A158" s="318"/>
      <c r="B158" s="318"/>
      <c r="C158" s="319"/>
      <c r="D158" s="318"/>
      <c r="E158" s="318"/>
      <c r="F158" s="318"/>
      <c r="G158" s="319"/>
    </row>
    <row r="159" spans="1:7">
      <c r="A159" s="318"/>
      <c r="B159" s="318"/>
      <c r="C159" s="319"/>
      <c r="D159" s="318"/>
      <c r="E159" s="318"/>
      <c r="F159" s="318"/>
      <c r="G159" s="319"/>
    </row>
    <row r="160" spans="1:7">
      <c r="A160" s="318"/>
      <c r="B160" s="318"/>
      <c r="C160" s="319"/>
      <c r="D160" s="318"/>
      <c r="E160" s="318"/>
      <c r="F160" s="318"/>
      <c r="G160" s="319"/>
    </row>
    <row r="161" spans="1:7">
      <c r="A161" s="318"/>
      <c r="B161" s="318"/>
      <c r="C161" s="319"/>
      <c r="D161" s="318"/>
      <c r="E161" s="318"/>
      <c r="F161" s="318"/>
      <c r="G161" s="319"/>
    </row>
    <row r="162" spans="1:7">
      <c r="A162" s="318"/>
      <c r="B162" s="318"/>
      <c r="C162" s="319"/>
      <c r="D162" s="318"/>
      <c r="E162" s="318"/>
      <c r="F162" s="318"/>
      <c r="G162" s="319"/>
    </row>
    <row r="163" spans="1:7">
      <c r="A163" s="318"/>
      <c r="B163" s="318"/>
      <c r="C163" s="319"/>
      <c r="D163" s="340"/>
      <c r="E163" s="318"/>
      <c r="F163" s="318"/>
      <c r="G163" s="319"/>
    </row>
  </sheetData>
  <sheetProtection algorithmName="SHA-512" hashValue="oxcRN0GFpI6BnLp2NXo8c+6y9R9byuGzWBbkC9EsIiCB/YHQW/LOfjaDo+d6N5/g2iLOpPsRXhWmx472Sx6SjA==" saltValue="/jX4Psm0SFmznnSAJ5+OhQ==" spinCount="100000" sheet="1" objects="1" scenarios="1"/>
  <mergeCells count="12">
    <mergeCell ref="B5:D5"/>
    <mergeCell ref="B31:B34"/>
    <mergeCell ref="B11:B18"/>
    <mergeCell ref="B19:B21"/>
    <mergeCell ref="B26:B28"/>
    <mergeCell ref="B29:B30"/>
    <mergeCell ref="B52:H52"/>
    <mergeCell ref="B35:B36"/>
    <mergeCell ref="B39:B41"/>
    <mergeCell ref="B43:B44"/>
    <mergeCell ref="B45:B46"/>
    <mergeCell ref="B47:B50"/>
  </mergeCells>
  <hyperlinks>
    <hyperlink ref="A1" location="'Data Pack Overview'!A1" display="H" xr:uid="{8FB5C3DE-EAB9-4E73-959E-C29022063263}"/>
  </hyperlinks>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33F61-8D8B-4B3C-8129-297401A2B525}">
  <sheetPr>
    <tabColor theme="7"/>
  </sheetPr>
  <dimension ref="A1:F38"/>
  <sheetViews>
    <sheetView showGridLines="0" topLeftCell="A4" zoomScaleNormal="100" workbookViewId="0">
      <selection activeCell="D14" activeCellId="1" sqref="D11 D14"/>
    </sheetView>
  </sheetViews>
  <sheetFormatPr defaultColWidth="9.33203125" defaultRowHeight="13.8"/>
  <cols>
    <col min="1" max="1" width="3.44140625" style="1" customWidth="1"/>
    <col min="2" max="2" width="50.5546875" style="1" customWidth="1"/>
    <col min="3" max="3" width="60.5546875" style="1" customWidth="1"/>
    <col min="4" max="5" width="13.5546875" style="730" customWidth="1"/>
    <col min="6" max="16384" width="9.33203125" style="1"/>
  </cols>
  <sheetData>
    <row r="1" spans="1:5">
      <c r="A1" s="720" t="s">
        <v>32</v>
      </c>
      <c r="B1" s="394" t="s">
        <v>1321</v>
      </c>
      <c r="C1" s="721" t="s">
        <v>1321</v>
      </c>
      <c r="D1" s="722" t="s">
        <v>1321</v>
      </c>
      <c r="E1" s="722" t="s">
        <v>1321</v>
      </c>
    </row>
    <row r="2" spans="1:5" ht="21">
      <c r="B2" s="39" t="s">
        <v>9</v>
      </c>
      <c r="C2" s="721" t="s">
        <v>1321</v>
      </c>
      <c r="D2" s="723" t="s">
        <v>1321</v>
      </c>
      <c r="E2" s="723" t="s">
        <v>1321</v>
      </c>
    </row>
    <row r="3" spans="1:5" ht="15.6">
      <c r="B3" s="859" t="s">
        <v>1322</v>
      </c>
      <c r="C3" s="859"/>
      <c r="D3" s="859"/>
      <c r="E3" s="859"/>
    </row>
    <row r="4" spans="1:5" ht="79.95" customHeight="1">
      <c r="B4" s="828" t="s">
        <v>1323</v>
      </c>
      <c r="C4" s="828"/>
      <c r="D4" s="828"/>
      <c r="E4" s="828"/>
    </row>
    <row r="5" spans="1:5">
      <c r="B5" s="394" t="s">
        <v>1321</v>
      </c>
      <c r="C5" s="721" t="s">
        <v>1321</v>
      </c>
      <c r="D5" s="722" t="s">
        <v>1321</v>
      </c>
      <c r="E5" s="722" t="s">
        <v>1321</v>
      </c>
    </row>
    <row r="6" spans="1:5" ht="15.6">
      <c r="B6" s="348" t="s">
        <v>1324</v>
      </c>
      <c r="C6" s="721" t="s">
        <v>1321</v>
      </c>
      <c r="D6" s="723" t="s">
        <v>1321</v>
      </c>
      <c r="E6" s="723" t="s">
        <v>1321</v>
      </c>
    </row>
    <row r="7" spans="1:5">
      <c r="B7" s="394" t="s">
        <v>1321</v>
      </c>
      <c r="C7" s="721" t="s">
        <v>1321</v>
      </c>
      <c r="D7" s="722" t="s">
        <v>1321</v>
      </c>
      <c r="E7" s="722" t="s">
        <v>1321</v>
      </c>
    </row>
    <row r="8" spans="1:5">
      <c r="B8" s="724" t="s">
        <v>1325</v>
      </c>
      <c r="C8" s="394"/>
      <c r="D8" s="722"/>
      <c r="E8" s="722" t="s">
        <v>1321</v>
      </c>
    </row>
    <row r="9" spans="1:5">
      <c r="B9" s="394" t="s">
        <v>1321</v>
      </c>
      <c r="C9" s="721" t="s">
        <v>1321</v>
      </c>
      <c r="D9" s="722" t="s">
        <v>1321</v>
      </c>
      <c r="E9" s="722" t="s">
        <v>1321</v>
      </c>
    </row>
    <row r="10" spans="1:5">
      <c r="B10" s="725" t="s">
        <v>9</v>
      </c>
      <c r="C10" s="562" t="s">
        <v>1321</v>
      </c>
      <c r="D10" s="713" t="s">
        <v>39</v>
      </c>
      <c r="E10" s="714" t="s">
        <v>40</v>
      </c>
    </row>
    <row r="11" spans="1:5" ht="27" customHeight="1">
      <c r="B11" s="560" t="s">
        <v>1326</v>
      </c>
      <c r="C11" s="560" t="s">
        <v>1327</v>
      </c>
      <c r="D11" s="561">
        <v>1003348.54</v>
      </c>
      <c r="E11" s="715">
        <v>1643987</v>
      </c>
    </row>
    <row r="12" spans="1:5" ht="16.2" customHeight="1">
      <c r="B12" s="371" t="s">
        <v>1328</v>
      </c>
      <c r="C12" s="377" t="s">
        <v>1321</v>
      </c>
      <c r="D12" s="716">
        <v>780848.54</v>
      </c>
      <c r="E12" s="716" t="s">
        <v>1321</v>
      </c>
    </row>
    <row r="13" spans="1:5" ht="16.2" customHeight="1">
      <c r="B13" s="371" t="s">
        <v>326</v>
      </c>
      <c r="C13" s="377" t="s">
        <v>1321</v>
      </c>
      <c r="D13" s="716">
        <v>222500</v>
      </c>
      <c r="E13" s="716" t="s">
        <v>1321</v>
      </c>
    </row>
    <row r="14" spans="1:5" ht="27" customHeight="1">
      <c r="B14" s="560" t="s">
        <v>1329</v>
      </c>
      <c r="C14" s="560" t="s">
        <v>1330</v>
      </c>
      <c r="D14" s="715">
        <v>271499.82</v>
      </c>
      <c r="E14" s="715">
        <v>721534</v>
      </c>
    </row>
    <row r="15" spans="1:5" ht="16.2" customHeight="1">
      <c r="B15" s="371" t="s">
        <v>1331</v>
      </c>
      <c r="C15" s="377" t="s">
        <v>1321</v>
      </c>
      <c r="D15" s="716">
        <v>14336.83</v>
      </c>
      <c r="E15" s="716" t="s">
        <v>1321</v>
      </c>
    </row>
    <row r="16" spans="1:5" ht="16.2" customHeight="1">
      <c r="B16" s="371" t="s">
        <v>1332</v>
      </c>
      <c r="C16" s="377" t="s">
        <v>1321</v>
      </c>
      <c r="D16" s="716">
        <v>238857.99</v>
      </c>
      <c r="E16" s="716" t="s">
        <v>1321</v>
      </c>
    </row>
    <row r="17" spans="2:5" ht="16.2" customHeight="1">
      <c r="B17" s="371" t="s">
        <v>1333</v>
      </c>
      <c r="C17" s="377" t="s">
        <v>1321</v>
      </c>
      <c r="D17" s="716">
        <v>18305</v>
      </c>
      <c r="E17" s="716" t="s">
        <v>1321</v>
      </c>
    </row>
    <row r="18" spans="2:5" ht="27" customHeight="1">
      <c r="B18" s="560" t="s">
        <v>1334</v>
      </c>
      <c r="C18" s="560" t="s">
        <v>1335</v>
      </c>
      <c r="D18" s="715">
        <v>125667.78</v>
      </c>
      <c r="E18" s="715">
        <v>119359</v>
      </c>
    </row>
    <row r="19" spans="2:5" ht="27" customHeight="1">
      <c r="B19" s="560" t="s">
        <v>1336</v>
      </c>
      <c r="C19" s="560" t="s">
        <v>1337</v>
      </c>
      <c r="D19" s="715">
        <f>SUM(D20:D22)</f>
        <v>3374460.66</v>
      </c>
      <c r="E19" s="715">
        <v>958876</v>
      </c>
    </row>
    <row r="20" spans="2:5" ht="16.95" customHeight="1">
      <c r="B20" s="371" t="s">
        <v>1338</v>
      </c>
      <c r="C20" s="377" t="s">
        <v>1321</v>
      </c>
      <c r="D20" s="717">
        <v>1728795.31</v>
      </c>
      <c r="E20" s="718"/>
    </row>
    <row r="21" spans="2:5" ht="16.95" customHeight="1">
      <c r="B21" s="371" t="s">
        <v>1339</v>
      </c>
      <c r="C21" s="377" t="s">
        <v>1321</v>
      </c>
      <c r="D21" s="718">
        <v>789682</v>
      </c>
      <c r="E21" s="716" t="s">
        <v>1321</v>
      </c>
    </row>
    <row r="22" spans="2:5" ht="16.95" customHeight="1">
      <c r="B22" s="371" t="s">
        <v>1340</v>
      </c>
      <c r="C22" s="377" t="s">
        <v>1321</v>
      </c>
      <c r="D22" s="716">
        <v>855983.35</v>
      </c>
      <c r="E22" s="716" t="s">
        <v>1321</v>
      </c>
    </row>
    <row r="23" spans="2:5">
      <c r="B23" s="560" t="s">
        <v>1341</v>
      </c>
      <c r="C23" s="560" t="s">
        <v>1321</v>
      </c>
      <c r="D23" s="715">
        <f>SUM(D24:D28)</f>
        <v>677257.22</v>
      </c>
      <c r="E23" s="715">
        <v>1385795</v>
      </c>
    </row>
    <row r="24" spans="2:5" ht="24" customHeight="1">
      <c r="B24" s="711" t="s">
        <v>1342</v>
      </c>
      <c r="C24" s="377" t="s">
        <v>1343</v>
      </c>
      <c r="D24" s="718">
        <v>75997.95</v>
      </c>
      <c r="E24" s="716"/>
    </row>
    <row r="25" spans="2:5" ht="27.6" customHeight="1">
      <c r="B25" s="711" t="s">
        <v>1344</v>
      </c>
      <c r="C25" s="709" t="s">
        <v>1345</v>
      </c>
      <c r="D25" s="718">
        <v>22950</v>
      </c>
      <c r="E25" s="716"/>
    </row>
    <row r="26" spans="2:5" ht="15.6" customHeight="1">
      <c r="B26" s="712"/>
      <c r="C26" s="710" t="s">
        <v>1346</v>
      </c>
      <c r="D26" s="718">
        <v>268908</v>
      </c>
      <c r="E26" s="716"/>
    </row>
    <row r="27" spans="2:5" ht="27.6" customHeight="1">
      <c r="B27" s="712" t="s">
        <v>1347</v>
      </c>
      <c r="C27" s="377" t="s">
        <v>1348</v>
      </c>
      <c r="D27" s="716">
        <v>219200.31</v>
      </c>
      <c r="E27" s="716"/>
    </row>
    <row r="28" spans="2:5" ht="15.6" customHeight="1">
      <c r="B28" s="371" t="s">
        <v>1349</v>
      </c>
      <c r="C28" s="377" t="s">
        <v>1350</v>
      </c>
      <c r="D28" s="716">
        <v>90200.960000000006</v>
      </c>
      <c r="E28" s="716"/>
    </row>
    <row r="29" spans="2:5" ht="26.85" customHeight="1">
      <c r="B29" s="560" t="s">
        <v>1351</v>
      </c>
      <c r="C29" s="560" t="s">
        <v>1352</v>
      </c>
      <c r="D29" s="715">
        <v>199400</v>
      </c>
      <c r="E29" s="715"/>
    </row>
    <row r="30" spans="2:5" ht="35.85" customHeight="1">
      <c r="B30" s="560" t="s">
        <v>1353</v>
      </c>
      <c r="C30" s="560" t="s">
        <v>1354</v>
      </c>
      <c r="D30" s="715">
        <v>83371.09</v>
      </c>
      <c r="E30" s="715" t="s">
        <v>1321</v>
      </c>
    </row>
    <row r="31" spans="2:5" ht="30.6">
      <c r="B31" s="560" t="s">
        <v>1355</v>
      </c>
      <c r="C31" s="560" t="s">
        <v>1356</v>
      </c>
      <c r="D31" s="715">
        <v>1917582.09</v>
      </c>
      <c r="E31" s="715">
        <v>561219</v>
      </c>
    </row>
    <row r="32" spans="2:5" ht="16.2" customHeight="1">
      <c r="B32" s="371" t="s">
        <v>1357</v>
      </c>
      <c r="C32" s="377" t="s">
        <v>1321</v>
      </c>
      <c r="D32" s="718">
        <v>49010</v>
      </c>
      <c r="E32" s="716">
        <v>19641</v>
      </c>
    </row>
    <row r="33" spans="2:6" ht="16.2" customHeight="1">
      <c r="B33" s="371" t="s">
        <v>1358</v>
      </c>
      <c r="C33" s="377" t="s">
        <v>1321</v>
      </c>
      <c r="D33" s="716">
        <v>1485026.14</v>
      </c>
      <c r="E33" s="716">
        <v>541578</v>
      </c>
    </row>
    <row r="34" spans="2:6" ht="16.2" customHeight="1">
      <c r="B34" s="371" t="s">
        <v>1359</v>
      </c>
      <c r="C34" s="377" t="s">
        <v>1321</v>
      </c>
      <c r="D34" s="716">
        <v>383545.95</v>
      </c>
      <c r="E34" s="716" t="s">
        <v>1321</v>
      </c>
    </row>
    <row r="35" spans="2:6">
      <c r="B35" s="924" t="s">
        <v>1360</v>
      </c>
      <c r="C35" s="924"/>
      <c r="D35" s="719">
        <f>SUM(D11,D14,D18,D19,D23,D29,D30,D31)</f>
        <v>7652587.2000000002</v>
      </c>
      <c r="E35" s="719">
        <v>5390770</v>
      </c>
      <c r="F35" s="726"/>
    </row>
    <row r="36" spans="2:6">
      <c r="B36" s="394" t="s">
        <v>1321</v>
      </c>
      <c r="C36" s="721" t="s">
        <v>1321</v>
      </c>
      <c r="D36" s="727"/>
      <c r="E36" s="727"/>
    </row>
    <row r="37" spans="2:6">
      <c r="B37" s="728"/>
      <c r="C37" s="721" t="s">
        <v>1321</v>
      </c>
      <c r="E37" s="722" t="s">
        <v>1321</v>
      </c>
    </row>
    <row r="38" spans="2:6">
      <c r="D38" s="729"/>
    </row>
  </sheetData>
  <sheetProtection algorithmName="SHA-512" hashValue="6/rkYbVbYO1piGWVYuidoJrtul+PSgtAimXbzl1eat2Rb33VPGtNabhTjMQ0J1LERlhvYnT2WrzZLCRGBXsb1g==" saltValue="eaUCvlJse+AjNn45L42dxw==" spinCount="100000" sheet="1" objects="1" scenarios="1"/>
  <mergeCells count="3">
    <mergeCell ref="B35:C35"/>
    <mergeCell ref="B4:E4"/>
    <mergeCell ref="B3:E3"/>
  </mergeCells>
  <hyperlinks>
    <hyperlink ref="A1" location="'Data Pack Overview'!A1" display="H" xr:uid="{7348EA1E-09A4-4C25-A00F-341D3AD6E9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AB730-5D1D-4F5E-8CA3-3CB63572EDC2}">
  <sheetPr>
    <tabColor theme="1" tint="0.34998626667073579"/>
  </sheetPr>
  <dimension ref="A1:L133"/>
  <sheetViews>
    <sheetView showGridLines="0" zoomScaleNormal="100" workbookViewId="0">
      <selection activeCell="B40" sqref="B40"/>
    </sheetView>
  </sheetViews>
  <sheetFormatPr defaultRowHeight="15" customHeight="1"/>
  <cols>
    <col min="1" max="1" width="2.5546875" customWidth="1"/>
    <col min="2" max="2" width="35.44140625" customWidth="1"/>
    <col min="3" max="3" width="13.5546875" customWidth="1"/>
    <col min="4" max="4" width="57.5546875" customWidth="1"/>
    <col min="5" max="5" width="67" customWidth="1"/>
    <col min="6" max="6" width="8.5546875" customWidth="1"/>
    <col min="7" max="7" width="41.44140625" style="567" customWidth="1"/>
  </cols>
  <sheetData>
    <row r="1" spans="1:12" ht="14.4">
      <c r="A1" s="18" t="s">
        <v>32</v>
      </c>
      <c r="B1" s="1"/>
      <c r="C1" s="1"/>
      <c r="D1" s="1"/>
      <c r="E1" s="1"/>
      <c r="F1" s="1"/>
      <c r="G1" s="571"/>
      <c r="H1" s="1"/>
      <c r="I1" s="1"/>
      <c r="J1" s="1"/>
      <c r="K1" s="1"/>
      <c r="L1" s="1"/>
    </row>
    <row r="2" spans="1:12" ht="21">
      <c r="A2" s="1"/>
      <c r="B2" s="19" t="s">
        <v>33</v>
      </c>
      <c r="C2" s="19"/>
      <c r="D2" s="1"/>
      <c r="E2" s="1"/>
      <c r="F2" s="1"/>
      <c r="G2" s="571"/>
      <c r="H2" s="1"/>
      <c r="I2" s="1"/>
      <c r="J2" s="1"/>
      <c r="K2" s="1"/>
      <c r="L2" s="1"/>
    </row>
    <row r="3" spans="1:12" ht="21">
      <c r="A3" s="1"/>
      <c r="B3" s="19"/>
      <c r="C3" s="19"/>
      <c r="E3" s="1"/>
      <c r="F3" s="1"/>
      <c r="G3" s="572"/>
      <c r="H3" s="1"/>
      <c r="I3" s="1"/>
      <c r="J3" s="1"/>
      <c r="K3" s="1"/>
      <c r="L3" s="1"/>
    </row>
    <row r="4" spans="1:12" ht="14.4">
      <c r="A4" s="1"/>
      <c r="B4" s="794" t="s">
        <v>34</v>
      </c>
      <c r="C4" s="794"/>
      <c r="D4" s="794"/>
      <c r="E4" s="794"/>
      <c r="F4" s="794"/>
      <c r="G4" s="794"/>
      <c r="H4" s="1"/>
      <c r="I4" s="1"/>
      <c r="J4" s="1"/>
      <c r="K4" s="1"/>
      <c r="L4" s="1"/>
    </row>
    <row r="5" spans="1:12" ht="15.6">
      <c r="A5" s="20"/>
      <c r="B5" s="1" t="s">
        <v>35</v>
      </c>
      <c r="C5" s="20"/>
      <c r="D5" s="20"/>
      <c r="E5" s="20"/>
      <c r="F5" s="20"/>
      <c r="G5"/>
    </row>
    <row r="6" spans="1:12" ht="15.6">
      <c r="A6" s="20"/>
      <c r="B6" s="20"/>
      <c r="C6" s="20"/>
      <c r="D6" s="20"/>
      <c r="E6" s="20"/>
      <c r="F6" s="20"/>
      <c r="G6"/>
    </row>
    <row r="7" spans="1:12" ht="15.6">
      <c r="A7" s="20"/>
      <c r="B7" s="20"/>
      <c r="C7" s="20"/>
      <c r="D7" s="20"/>
      <c r="E7" s="20"/>
      <c r="F7" s="20"/>
      <c r="G7"/>
    </row>
    <row r="8" spans="1:12" ht="15.6">
      <c r="A8" s="20"/>
      <c r="B8" s="20"/>
      <c r="C8" s="20"/>
      <c r="D8" s="20"/>
      <c r="E8" s="20"/>
      <c r="F8" s="20"/>
      <c r="G8"/>
    </row>
    <row r="9" spans="1:12" ht="41.85" customHeight="1">
      <c r="A9" s="1"/>
      <c r="B9" s="1"/>
      <c r="C9" s="1"/>
      <c r="D9" s="1"/>
      <c r="E9" s="1"/>
      <c r="F9" s="1"/>
      <c r="G9" s="1"/>
    </row>
    <row r="10" spans="1:12" ht="14.4">
      <c r="A10" s="1"/>
      <c r="B10" s="1"/>
      <c r="C10" s="1"/>
      <c r="D10" s="1"/>
      <c r="E10" s="1"/>
      <c r="F10" s="1"/>
      <c r="G10" s="1"/>
    </row>
    <row r="11" spans="1:12" ht="37.35" customHeight="1">
      <c r="A11" s="1"/>
      <c r="B11" s="1"/>
      <c r="C11" s="1"/>
      <c r="D11" s="1"/>
      <c r="E11" s="1"/>
      <c r="F11" s="1"/>
      <c r="G11" s="1"/>
    </row>
    <row r="12" spans="1:12" ht="14.4">
      <c r="A12" s="1"/>
      <c r="B12" s="1"/>
      <c r="C12" s="1"/>
      <c r="D12" s="1"/>
      <c r="E12" s="1"/>
      <c r="F12" s="1"/>
      <c r="G12" s="1"/>
    </row>
    <row r="13" spans="1:12" ht="14.4">
      <c r="A13" s="1"/>
      <c r="B13" s="1"/>
      <c r="C13" s="1"/>
      <c r="D13" s="1"/>
      <c r="E13" s="1"/>
      <c r="F13" s="1"/>
      <c r="G13" s="1"/>
    </row>
    <row r="14" spans="1:12" ht="14.4">
      <c r="A14" s="1"/>
      <c r="B14" s="1"/>
      <c r="C14" s="1"/>
      <c r="D14" s="1"/>
      <c r="E14" s="1"/>
      <c r="F14" s="1"/>
      <c r="G14" s="1"/>
    </row>
    <row r="15" spans="1:12" ht="14.4">
      <c r="A15" s="1"/>
      <c r="B15" s="1"/>
      <c r="C15" s="1"/>
      <c r="D15" s="1"/>
      <c r="E15" s="1"/>
      <c r="F15" s="1"/>
      <c r="G15" s="1"/>
    </row>
    <row r="16" spans="1:12" ht="14.4">
      <c r="A16" s="1"/>
      <c r="B16" s="1"/>
      <c r="C16" s="1"/>
      <c r="D16" s="1"/>
      <c r="E16" s="1"/>
      <c r="F16" s="1"/>
      <c r="G16" s="1"/>
    </row>
    <row r="17" spans="1:7" ht="14.4">
      <c r="A17" s="1"/>
      <c r="B17" s="1"/>
      <c r="C17" s="1"/>
      <c r="D17" s="1"/>
      <c r="E17" s="1"/>
      <c r="F17" s="1"/>
      <c r="G17" s="1"/>
    </row>
    <row r="18" spans="1:7" ht="14.4">
      <c r="A18" s="1"/>
      <c r="B18" s="1"/>
      <c r="C18" s="1"/>
      <c r="D18" s="1"/>
      <c r="E18" s="1"/>
      <c r="F18" s="1"/>
      <c r="G18" s="1"/>
    </row>
    <row r="19" spans="1:7" ht="14.4">
      <c r="A19" s="1"/>
      <c r="B19" s="1"/>
      <c r="C19" s="1"/>
      <c r="D19" s="1"/>
      <c r="E19" s="1"/>
      <c r="F19" s="1"/>
      <c r="G19" s="1"/>
    </row>
    <row r="20" spans="1:7" ht="14.4">
      <c r="A20" s="1"/>
      <c r="B20" s="1"/>
      <c r="C20" s="1"/>
      <c r="D20" s="1"/>
      <c r="E20" s="1"/>
      <c r="F20" s="1"/>
      <c r="G20" s="1"/>
    </row>
    <row r="21" spans="1:7" ht="14.4">
      <c r="A21" s="1"/>
      <c r="B21" s="1"/>
      <c r="C21" s="1"/>
      <c r="D21" s="1"/>
      <c r="E21" s="1"/>
      <c r="F21" s="1"/>
      <c r="G21" s="1"/>
    </row>
    <row r="22" spans="1:7" ht="14.4">
      <c r="A22" s="1"/>
      <c r="B22" s="1"/>
      <c r="C22" s="1"/>
      <c r="D22" s="1"/>
      <c r="E22" s="1"/>
      <c r="F22" s="1"/>
      <c r="G22" s="1"/>
    </row>
    <row r="23" spans="1:7" ht="14.4">
      <c r="A23" s="1"/>
      <c r="B23" s="1"/>
      <c r="C23" s="1"/>
      <c r="D23" s="1"/>
      <c r="E23" s="1"/>
      <c r="F23" s="1"/>
      <c r="G23" s="1"/>
    </row>
    <row r="24" spans="1:7" ht="14.4">
      <c r="A24" s="1"/>
      <c r="B24" s="1"/>
      <c r="C24" s="1"/>
      <c r="D24" s="1"/>
      <c r="E24" s="1"/>
      <c r="F24" s="1"/>
      <c r="G24" s="1"/>
    </row>
    <row r="25" spans="1:7" ht="14.4">
      <c r="A25" s="1"/>
      <c r="B25" s="1"/>
      <c r="C25" s="1"/>
      <c r="D25" s="1"/>
      <c r="E25" s="1"/>
      <c r="F25" s="1"/>
      <c r="G25" s="1"/>
    </row>
    <row r="26" spans="1:7" ht="14.4">
      <c r="A26" s="1"/>
      <c r="B26" s="1"/>
      <c r="C26" s="1"/>
      <c r="D26" s="1"/>
      <c r="E26" s="1"/>
      <c r="F26" s="1"/>
      <c r="G26" s="1"/>
    </row>
    <row r="27" spans="1:7" ht="14.4">
      <c r="A27" s="1"/>
      <c r="B27" s="1"/>
      <c r="C27" s="1"/>
      <c r="D27" s="1"/>
      <c r="E27" s="1"/>
      <c r="F27" s="1"/>
      <c r="G27" s="1"/>
    </row>
    <row r="28" spans="1:7" ht="97.5" customHeight="1">
      <c r="A28" s="1"/>
      <c r="B28" s="1"/>
      <c r="C28" s="1"/>
      <c r="D28" s="1"/>
      <c r="E28" s="1"/>
      <c r="F28" s="1"/>
      <c r="G28" s="1"/>
    </row>
    <row r="29" spans="1:7" ht="14.4">
      <c r="A29" s="1"/>
      <c r="B29" s="1"/>
      <c r="C29" s="1"/>
      <c r="D29" s="1"/>
      <c r="E29" s="1"/>
      <c r="F29" s="1"/>
      <c r="G29" s="1"/>
    </row>
    <row r="30" spans="1:7" ht="14.4">
      <c r="A30" s="1"/>
      <c r="B30" s="1"/>
      <c r="C30" s="1"/>
      <c r="D30" s="1"/>
      <c r="E30" s="1"/>
      <c r="F30" s="1"/>
      <c r="G30" s="1"/>
    </row>
    <row r="31" spans="1:7" ht="46.35" customHeight="1">
      <c r="A31" s="1"/>
      <c r="B31" s="1"/>
      <c r="C31" s="1"/>
      <c r="D31" s="1"/>
      <c r="E31" s="1"/>
      <c r="F31" s="1"/>
      <c r="G31" s="1"/>
    </row>
    <row r="32" spans="1:7" ht="48" customHeight="1">
      <c r="A32" s="1"/>
      <c r="B32" s="1"/>
      <c r="C32" s="1"/>
      <c r="D32" s="1"/>
      <c r="E32" s="1"/>
      <c r="F32" s="1"/>
      <c r="G32" s="1"/>
    </row>
    <row r="33" spans="1:7" ht="51" customHeight="1">
      <c r="A33" s="1"/>
      <c r="B33" s="1"/>
      <c r="C33" s="1"/>
      <c r="D33" s="1"/>
      <c r="E33" s="1"/>
      <c r="F33" s="1"/>
      <c r="G33" s="1"/>
    </row>
    <row r="34" spans="1:7" ht="14.4">
      <c r="A34" s="1"/>
      <c r="B34" s="1"/>
      <c r="C34" s="1"/>
      <c r="D34" s="1"/>
      <c r="E34" s="1"/>
      <c r="F34" s="1"/>
      <c r="G34" s="1"/>
    </row>
    <row r="35" spans="1:7" ht="14.4">
      <c r="A35" s="1"/>
      <c r="B35" s="1"/>
      <c r="C35" s="1"/>
      <c r="D35" s="1"/>
      <c r="E35" s="1"/>
      <c r="F35" s="1"/>
      <c r="G35" s="1"/>
    </row>
    <row r="36" spans="1:7" ht="14.4">
      <c r="A36" s="1"/>
      <c r="B36" s="1"/>
      <c r="C36" s="1"/>
      <c r="D36" s="1"/>
      <c r="E36" s="1"/>
      <c r="F36" s="1"/>
      <c r="G36" s="1"/>
    </row>
    <row r="37" spans="1:7" ht="14.4">
      <c r="A37" s="1"/>
      <c r="B37" s="1"/>
      <c r="C37" s="1"/>
      <c r="D37" s="1"/>
      <c r="E37" s="1"/>
      <c r="F37" s="1"/>
      <c r="G37" s="1"/>
    </row>
    <row r="38" spans="1:7" ht="14.4">
      <c r="A38" s="1"/>
      <c r="B38" s="1"/>
      <c r="C38" s="1"/>
      <c r="D38" s="1"/>
      <c r="E38" s="1"/>
      <c r="F38" s="1"/>
      <c r="G38" s="1"/>
    </row>
    <row r="39" spans="1:7" ht="14.4">
      <c r="A39" s="1"/>
      <c r="B39" s="1"/>
      <c r="C39" s="1"/>
      <c r="D39" s="1"/>
      <c r="E39" s="1"/>
      <c r="F39" s="1"/>
      <c r="G39" s="1"/>
    </row>
    <row r="40" spans="1:7" ht="14.4">
      <c r="A40" s="1"/>
      <c r="B40" s="1"/>
      <c r="C40" s="1"/>
      <c r="D40" s="1"/>
      <c r="E40" s="1"/>
      <c r="F40" s="1"/>
      <c r="G40" s="1"/>
    </row>
    <row r="41" spans="1:7" ht="14.4">
      <c r="A41" s="1"/>
      <c r="B41" s="1"/>
      <c r="C41" s="1"/>
      <c r="D41" s="1"/>
      <c r="E41" s="1"/>
      <c r="F41" s="1"/>
      <c r="G41" s="1"/>
    </row>
    <row r="42" spans="1:7" ht="15" customHeight="1">
      <c r="A42" s="1"/>
      <c r="B42" s="1"/>
      <c r="C42" s="1"/>
      <c r="D42" s="1"/>
      <c r="E42" s="1"/>
      <c r="F42" s="1"/>
      <c r="G42" s="1"/>
    </row>
    <row r="43" spans="1:7" ht="58.5" customHeight="1">
      <c r="A43" s="1"/>
      <c r="B43" s="1"/>
      <c r="C43" s="1"/>
      <c r="D43" s="1"/>
      <c r="E43" s="1"/>
      <c r="F43" s="1"/>
      <c r="G43"/>
    </row>
    <row r="44" spans="1:7" ht="118.35" customHeight="1">
      <c r="A44" s="1"/>
      <c r="B44" s="1"/>
      <c r="C44" s="1"/>
      <c r="D44" s="1"/>
      <c r="E44" s="1"/>
      <c r="F44" s="1"/>
      <c r="G44"/>
    </row>
    <row r="45" spans="1:7" ht="105" customHeight="1">
      <c r="A45" s="1"/>
      <c r="B45" s="1"/>
      <c r="C45" s="1"/>
      <c r="D45" s="1"/>
      <c r="E45" s="1"/>
      <c r="F45" s="1"/>
      <c r="G45"/>
    </row>
    <row r="46" spans="1:7" ht="142.5" customHeight="1">
      <c r="A46" s="1"/>
      <c r="B46" s="1"/>
      <c r="C46" s="1"/>
      <c r="D46" s="1"/>
      <c r="E46" s="1"/>
      <c r="F46" s="1"/>
      <c r="G46"/>
    </row>
    <row r="47" spans="1:7" ht="170.1" customHeight="1">
      <c r="A47" s="1"/>
      <c r="B47" s="1"/>
      <c r="C47" s="1"/>
      <c r="D47" s="1"/>
      <c r="E47" s="1"/>
      <c r="F47" s="1"/>
      <c r="G47"/>
    </row>
    <row r="48" spans="1:7" ht="233.85" customHeight="1">
      <c r="A48" s="1"/>
      <c r="B48" s="1"/>
      <c r="C48" s="1"/>
      <c r="D48" s="1"/>
      <c r="E48" s="1"/>
      <c r="F48" s="1"/>
      <c r="G48"/>
    </row>
    <row r="49" spans="1:7" ht="52.5" customHeight="1">
      <c r="A49" s="1"/>
      <c r="B49" s="1"/>
      <c r="C49" s="1"/>
      <c r="D49" s="1"/>
      <c r="E49" s="1"/>
      <c r="F49" s="1"/>
      <c r="G49"/>
    </row>
    <row r="50" spans="1:7" ht="29.85" customHeight="1">
      <c r="A50" s="1"/>
      <c r="B50" s="1"/>
      <c r="C50" s="1"/>
      <c r="D50" s="1"/>
      <c r="E50" s="1"/>
      <c r="F50" s="1"/>
      <c r="G50"/>
    </row>
    <row r="51" spans="1:7" ht="14.4">
      <c r="A51" s="1"/>
      <c r="B51" s="1"/>
      <c r="C51" s="1"/>
      <c r="D51" s="1"/>
      <c r="E51" s="1"/>
      <c r="F51" s="1"/>
      <c r="G51"/>
    </row>
    <row r="52" spans="1:7" ht="14.4">
      <c r="A52" s="1"/>
      <c r="B52" s="1"/>
      <c r="C52" s="1"/>
      <c r="D52" s="1"/>
      <c r="E52" s="1"/>
      <c r="F52" s="1"/>
      <c r="G52"/>
    </row>
    <row r="53" spans="1:7" ht="14.4">
      <c r="A53" s="1"/>
      <c r="B53" s="1"/>
      <c r="C53" s="1"/>
      <c r="D53" s="1"/>
      <c r="E53" s="1"/>
      <c r="F53" s="1"/>
      <c r="G53"/>
    </row>
    <row r="54" spans="1:7" ht="14.4">
      <c r="A54" s="1"/>
      <c r="B54" s="1"/>
      <c r="C54" s="1"/>
      <c r="D54" s="1"/>
      <c r="E54" s="1"/>
      <c r="F54" s="1"/>
      <c r="G54"/>
    </row>
    <row r="55" spans="1:7" ht="14.4">
      <c r="A55" s="1"/>
      <c r="B55" s="1"/>
      <c r="C55" s="1"/>
      <c r="D55" s="1"/>
      <c r="E55" s="1"/>
      <c r="F55" s="1"/>
      <c r="G55"/>
    </row>
    <row r="56" spans="1:7" ht="14.4">
      <c r="A56" s="1"/>
      <c r="B56" s="1"/>
      <c r="C56" s="1"/>
      <c r="D56" s="1"/>
      <c r="E56" s="1"/>
      <c r="F56" s="1"/>
      <c r="G56"/>
    </row>
    <row r="57" spans="1:7" ht="14.4">
      <c r="A57" s="1"/>
      <c r="B57" s="1"/>
      <c r="C57" s="1"/>
      <c r="D57" s="1"/>
      <c r="E57" s="1"/>
      <c r="F57" s="1"/>
      <c r="G57"/>
    </row>
    <row r="58" spans="1:7" ht="14.4">
      <c r="A58" s="1"/>
      <c r="B58" s="1"/>
      <c r="C58" s="1"/>
      <c r="D58" s="1"/>
      <c r="E58" s="1"/>
      <c r="F58" s="1"/>
      <c r="G58"/>
    </row>
    <row r="59" spans="1:7" ht="14.4">
      <c r="A59" s="1"/>
      <c r="B59" s="1"/>
      <c r="C59" s="1"/>
      <c r="D59" s="1"/>
      <c r="E59" s="1"/>
      <c r="F59" s="1"/>
      <c r="G59"/>
    </row>
    <row r="60" spans="1:7" ht="14.4">
      <c r="A60" s="1"/>
      <c r="B60" s="1"/>
      <c r="C60" s="1"/>
      <c r="D60" s="1"/>
      <c r="E60" s="1"/>
      <c r="F60" s="1"/>
      <c r="G60"/>
    </row>
    <row r="61" spans="1:7" ht="14.4">
      <c r="A61" s="1"/>
      <c r="B61" s="1"/>
      <c r="C61" s="1"/>
      <c r="D61" s="1"/>
      <c r="E61" s="1"/>
      <c r="F61" s="1"/>
      <c r="G61"/>
    </row>
    <row r="62" spans="1:7" ht="14.4">
      <c r="A62" s="1"/>
      <c r="B62" s="1"/>
      <c r="C62" s="1"/>
      <c r="D62" s="1"/>
      <c r="E62" s="1"/>
      <c r="F62" s="1"/>
      <c r="G62"/>
    </row>
    <row r="63" spans="1:7" ht="14.4">
      <c r="A63" s="1"/>
      <c r="B63" s="1"/>
      <c r="C63" s="1"/>
      <c r="D63" s="1"/>
      <c r="E63" s="1"/>
      <c r="F63" s="1"/>
      <c r="G63"/>
    </row>
    <row r="64" spans="1:7" ht="14.4">
      <c r="A64" s="1"/>
      <c r="B64" s="1"/>
      <c r="C64" s="1"/>
      <c r="D64" s="1"/>
      <c r="E64" s="1"/>
      <c r="F64" s="1"/>
      <c r="G64"/>
    </row>
    <row r="65" spans="1:7" ht="14.4">
      <c r="A65" s="1"/>
      <c r="B65" s="1"/>
      <c r="C65" s="1"/>
      <c r="D65" s="1"/>
      <c r="E65" s="1"/>
      <c r="F65" s="1"/>
      <c r="G65"/>
    </row>
    <row r="66" spans="1:7" ht="14.4">
      <c r="A66" s="1"/>
      <c r="B66" s="1"/>
      <c r="C66" s="1"/>
      <c r="D66" s="1"/>
      <c r="E66" s="1"/>
      <c r="F66" s="1"/>
      <c r="G66"/>
    </row>
    <row r="67" spans="1:7" ht="14.4">
      <c r="A67" s="1"/>
      <c r="B67" s="1"/>
      <c r="C67" s="1"/>
      <c r="D67" s="1"/>
      <c r="E67" s="1"/>
      <c r="F67" s="1"/>
      <c r="G67"/>
    </row>
    <row r="68" spans="1:7" ht="14.4">
      <c r="A68" s="1"/>
      <c r="B68" s="1"/>
      <c r="C68" s="1"/>
      <c r="D68" s="1"/>
      <c r="E68" s="1"/>
      <c r="F68" s="1"/>
      <c r="G68"/>
    </row>
    <row r="69" spans="1:7" ht="14.4">
      <c r="A69" s="1"/>
      <c r="B69" s="1"/>
      <c r="C69" s="1"/>
      <c r="D69" s="1"/>
      <c r="E69" s="1"/>
      <c r="F69" s="1"/>
      <c r="G69"/>
    </row>
    <row r="70" spans="1:7" ht="14.4">
      <c r="A70" s="1"/>
      <c r="B70" s="1"/>
      <c r="C70" s="1"/>
      <c r="D70" s="1"/>
      <c r="E70" s="1"/>
      <c r="F70" s="1"/>
      <c r="G70"/>
    </row>
    <row r="71" spans="1:7" ht="14.4">
      <c r="A71" s="1"/>
      <c r="B71" s="1"/>
      <c r="C71" s="1"/>
      <c r="D71" s="1"/>
      <c r="E71" s="1"/>
      <c r="F71" s="1"/>
      <c r="G71"/>
    </row>
    <row r="72" spans="1:7" ht="14.4">
      <c r="A72" s="1"/>
      <c r="B72" s="1"/>
      <c r="C72" s="1"/>
      <c r="D72" s="1"/>
      <c r="E72" s="1"/>
      <c r="F72" s="1"/>
      <c r="G72"/>
    </row>
    <row r="73" spans="1:7" ht="14.4">
      <c r="A73" s="1"/>
      <c r="B73" s="1"/>
      <c r="C73" s="1"/>
      <c r="D73" s="1"/>
      <c r="E73" s="1"/>
      <c r="F73" s="1"/>
      <c r="G73"/>
    </row>
    <row r="74" spans="1:7" ht="14.4">
      <c r="A74" s="1"/>
      <c r="B74" s="1"/>
      <c r="C74" s="1"/>
      <c r="D74" s="1"/>
      <c r="E74" s="1"/>
      <c r="F74" s="1"/>
      <c r="G74"/>
    </row>
    <row r="75" spans="1:7" ht="14.4">
      <c r="A75" s="1"/>
      <c r="B75" s="1"/>
      <c r="C75" s="1"/>
      <c r="D75" s="1"/>
      <c r="E75" s="1"/>
      <c r="F75" s="1"/>
      <c r="G75"/>
    </row>
    <row r="76" spans="1:7" ht="14.4">
      <c r="A76" s="1"/>
      <c r="B76" s="1"/>
      <c r="C76" s="1"/>
      <c r="D76" s="1"/>
      <c r="E76" s="1"/>
      <c r="F76" s="1"/>
      <c r="G76"/>
    </row>
    <row r="77" spans="1:7" ht="14.4">
      <c r="A77" s="1"/>
      <c r="B77" s="1"/>
      <c r="C77" s="1"/>
      <c r="D77" s="1"/>
      <c r="E77" s="1"/>
      <c r="F77" s="1"/>
      <c r="G77"/>
    </row>
    <row r="78" spans="1:7" ht="14.4">
      <c r="A78" s="1"/>
      <c r="B78" s="1"/>
      <c r="C78" s="1"/>
      <c r="D78" s="1"/>
      <c r="E78" s="1"/>
      <c r="F78" s="1"/>
      <c r="G78"/>
    </row>
    <row r="79" spans="1:7" ht="14.4">
      <c r="A79" s="1"/>
      <c r="B79" s="1"/>
      <c r="C79" s="1"/>
      <c r="D79" s="1"/>
      <c r="E79" s="1"/>
      <c r="F79" s="1"/>
      <c r="G79"/>
    </row>
    <row r="80" spans="1:7" ht="14.4">
      <c r="A80" s="1"/>
      <c r="B80" s="1"/>
      <c r="C80" s="1"/>
      <c r="D80" s="1"/>
      <c r="E80" s="1"/>
      <c r="F80" s="1"/>
      <c r="G80"/>
    </row>
    <row r="81" spans="1:7" ht="14.4">
      <c r="A81" s="1"/>
      <c r="B81" s="1"/>
      <c r="C81" s="1"/>
      <c r="D81" s="1"/>
      <c r="E81" s="1"/>
      <c r="F81" s="1"/>
      <c r="G81"/>
    </row>
    <row r="82" spans="1:7" ht="14.4">
      <c r="A82" s="1"/>
      <c r="B82" s="1"/>
      <c r="C82" s="1"/>
      <c r="D82" s="1"/>
      <c r="E82" s="1"/>
      <c r="F82" s="1"/>
      <c r="G82"/>
    </row>
    <row r="83" spans="1:7" ht="14.4">
      <c r="A83" s="1"/>
      <c r="B83" s="1"/>
      <c r="C83" s="1"/>
      <c r="D83" s="1"/>
      <c r="E83" s="1"/>
      <c r="F83" s="1"/>
      <c r="G83"/>
    </row>
    <row r="84" spans="1:7" ht="14.4">
      <c r="A84" s="1"/>
      <c r="B84" s="1"/>
      <c r="C84" s="1"/>
      <c r="D84" s="1"/>
      <c r="E84" s="1"/>
      <c r="F84" s="1"/>
      <c r="G84"/>
    </row>
    <row r="85" spans="1:7" ht="14.4">
      <c r="A85" s="1"/>
      <c r="B85" s="1"/>
      <c r="C85" s="1"/>
      <c r="D85" s="1"/>
      <c r="E85" s="1"/>
      <c r="F85" s="1"/>
      <c r="G85"/>
    </row>
    <row r="86" spans="1:7" ht="14.4">
      <c r="A86" s="1"/>
      <c r="B86" s="1"/>
      <c r="C86" s="1"/>
      <c r="D86" s="1"/>
      <c r="E86" s="1"/>
      <c r="F86" s="1"/>
      <c r="G86"/>
    </row>
    <row r="87" spans="1:7" ht="14.4">
      <c r="A87" s="1"/>
      <c r="B87" s="1"/>
      <c r="C87" s="1"/>
      <c r="D87" s="1"/>
      <c r="E87" s="1"/>
      <c r="F87" s="1"/>
      <c r="G87"/>
    </row>
    <row r="88" spans="1:7" ht="14.4">
      <c r="A88" s="1"/>
      <c r="B88" s="1"/>
      <c r="C88" s="1"/>
      <c r="D88" s="1"/>
      <c r="E88" s="1"/>
      <c r="F88" s="1"/>
      <c r="G88"/>
    </row>
    <row r="89" spans="1:7" ht="14.4">
      <c r="A89" s="1"/>
      <c r="B89" s="1"/>
      <c r="C89" s="1"/>
      <c r="D89" s="1"/>
      <c r="E89" s="1"/>
      <c r="F89" s="1"/>
      <c r="G89"/>
    </row>
    <row r="90" spans="1:7" ht="14.4">
      <c r="A90" s="1"/>
      <c r="B90" s="1"/>
      <c r="C90" s="1"/>
      <c r="D90" s="1"/>
      <c r="E90" s="1"/>
      <c r="F90" s="1"/>
      <c r="G90"/>
    </row>
    <row r="91" spans="1:7" ht="14.4">
      <c r="A91" s="1"/>
      <c r="B91" s="1"/>
      <c r="C91" s="1"/>
      <c r="D91" s="1"/>
      <c r="E91" s="1"/>
      <c r="F91" s="1"/>
      <c r="G91"/>
    </row>
    <row r="92" spans="1:7" ht="14.4">
      <c r="A92" s="1"/>
      <c r="B92" s="1"/>
      <c r="C92" s="1"/>
      <c r="D92" s="1"/>
      <c r="E92" s="1"/>
      <c r="F92" s="1"/>
      <c r="G92"/>
    </row>
    <row r="93" spans="1:7" ht="14.4">
      <c r="A93" s="1"/>
      <c r="B93" s="1"/>
      <c r="C93" s="1"/>
      <c r="D93" s="1"/>
      <c r="E93" s="1"/>
      <c r="F93" s="1"/>
      <c r="G93"/>
    </row>
    <row r="94" spans="1:7" ht="14.4">
      <c r="A94" s="1"/>
      <c r="B94" s="1"/>
      <c r="C94" s="1"/>
      <c r="D94" s="1"/>
      <c r="E94" s="1"/>
      <c r="F94" s="1"/>
      <c r="G94"/>
    </row>
    <row r="95" spans="1:7" ht="14.4">
      <c r="A95" s="1"/>
      <c r="B95" s="1"/>
      <c r="C95" s="1"/>
      <c r="D95" s="1"/>
      <c r="E95" s="1"/>
      <c r="F95" s="1"/>
      <c r="G95"/>
    </row>
    <row r="96" spans="1:7" ht="14.4">
      <c r="A96" s="1"/>
      <c r="B96" s="1"/>
      <c r="C96" s="1"/>
      <c r="D96" s="1"/>
      <c r="E96" s="1"/>
      <c r="F96" s="1"/>
      <c r="G96"/>
    </row>
    <row r="97" spans="1:7" ht="14.4">
      <c r="A97" s="1"/>
      <c r="B97" s="1"/>
      <c r="C97" s="1"/>
      <c r="D97" s="1"/>
      <c r="E97" s="1"/>
      <c r="F97" s="1"/>
      <c r="G97"/>
    </row>
    <row r="98" spans="1:7" ht="14.4">
      <c r="A98" s="1"/>
      <c r="B98" s="1"/>
      <c r="C98" s="1"/>
      <c r="D98" s="1"/>
      <c r="E98" s="1"/>
      <c r="F98" s="1"/>
      <c r="G98"/>
    </row>
    <row r="99" spans="1:7" ht="14.4">
      <c r="A99" s="1"/>
      <c r="B99" s="1"/>
      <c r="C99" s="1"/>
      <c r="D99" s="1"/>
      <c r="E99" s="1"/>
      <c r="F99" s="1"/>
      <c r="G99"/>
    </row>
    <row r="100" spans="1:7" ht="14.4">
      <c r="A100" s="1"/>
      <c r="B100" s="1"/>
      <c r="C100" s="1"/>
      <c r="D100" s="1"/>
      <c r="E100" s="1"/>
      <c r="F100" s="1"/>
      <c r="G100"/>
    </row>
    <row r="101" spans="1:7" ht="14.4">
      <c r="A101" s="1"/>
      <c r="B101" s="1"/>
      <c r="C101" s="1"/>
      <c r="D101" s="1"/>
      <c r="E101" s="1"/>
      <c r="F101" s="1"/>
      <c r="G101"/>
    </row>
    <row r="102" spans="1:7" ht="14.4">
      <c r="A102" s="1"/>
      <c r="B102" s="1"/>
      <c r="C102" s="1"/>
      <c r="D102" s="1"/>
      <c r="E102" s="1"/>
      <c r="F102" s="1"/>
      <c r="G102"/>
    </row>
    <row r="103" spans="1:7" ht="14.4">
      <c r="A103" s="1"/>
      <c r="B103" s="1"/>
      <c r="C103" s="1"/>
      <c r="D103" s="1"/>
      <c r="E103" s="1"/>
      <c r="F103" s="1"/>
      <c r="G103"/>
    </row>
    <row r="104" spans="1:7" ht="14.4">
      <c r="A104" s="1"/>
      <c r="B104" s="1"/>
      <c r="C104" s="1"/>
      <c r="D104" s="1"/>
      <c r="E104" s="1"/>
      <c r="F104" s="1"/>
      <c r="G104"/>
    </row>
    <row r="105" spans="1:7" ht="14.4">
      <c r="A105" s="1"/>
      <c r="B105" s="1"/>
      <c r="C105" s="1"/>
      <c r="D105" s="1"/>
      <c r="E105" s="1"/>
      <c r="F105" s="1"/>
      <c r="G105"/>
    </row>
    <row r="106" spans="1:7" ht="14.4">
      <c r="A106" s="1"/>
      <c r="B106" s="1"/>
      <c r="C106" s="1"/>
      <c r="D106" s="1"/>
      <c r="E106" s="1"/>
      <c r="F106" s="1"/>
      <c r="G106"/>
    </row>
    <row r="107" spans="1:7" ht="14.4">
      <c r="A107" s="1"/>
      <c r="B107" s="1"/>
      <c r="C107" s="1"/>
      <c r="D107" s="1"/>
      <c r="E107" s="1"/>
      <c r="F107" s="1"/>
      <c r="G107"/>
    </row>
    <row r="108" spans="1:7" ht="14.4">
      <c r="A108" s="1"/>
      <c r="B108" s="1"/>
      <c r="C108" s="1"/>
      <c r="D108" s="1"/>
      <c r="E108" s="1"/>
      <c r="F108" s="1"/>
      <c r="G108"/>
    </row>
    <row r="109" spans="1:7" ht="14.4">
      <c r="A109" s="1"/>
      <c r="B109" s="1"/>
      <c r="C109" s="1"/>
      <c r="D109" s="1"/>
      <c r="E109" s="1"/>
      <c r="F109" s="1"/>
      <c r="G109"/>
    </row>
    <row r="110" spans="1:7" ht="14.4">
      <c r="A110" s="1"/>
      <c r="B110" s="1"/>
      <c r="C110" s="1"/>
      <c r="D110" s="1"/>
      <c r="E110" s="1"/>
      <c r="F110" s="1"/>
      <c r="G110"/>
    </row>
    <row r="111" spans="1:7" ht="14.4">
      <c r="A111" s="1"/>
      <c r="B111" s="1"/>
      <c r="C111" s="1"/>
      <c r="D111" s="1"/>
      <c r="E111" s="1"/>
      <c r="F111" s="1"/>
      <c r="G111"/>
    </row>
    <row r="112" spans="1:7" ht="14.4">
      <c r="A112" s="1"/>
      <c r="B112" s="1"/>
      <c r="C112" s="1"/>
      <c r="D112" s="1"/>
      <c r="E112" s="1"/>
      <c r="F112" s="1"/>
      <c r="G112"/>
    </row>
    <row r="113" spans="1:7" ht="14.4">
      <c r="A113" s="1"/>
      <c r="B113" s="1"/>
      <c r="C113" s="1"/>
      <c r="D113" s="1"/>
      <c r="E113" s="1"/>
      <c r="F113" s="1"/>
      <c r="G113"/>
    </row>
    <row r="114" spans="1:7" ht="14.4">
      <c r="A114" s="1"/>
      <c r="B114" s="1"/>
      <c r="C114" s="1"/>
      <c r="D114" s="1"/>
      <c r="E114" s="1"/>
      <c r="F114" s="1"/>
      <c r="G114"/>
    </row>
    <row r="115" spans="1:7" ht="14.4">
      <c r="A115" s="1"/>
      <c r="B115" s="1"/>
      <c r="C115" s="1"/>
      <c r="D115" s="1"/>
      <c r="E115" s="1"/>
      <c r="F115" s="1"/>
      <c r="G115"/>
    </row>
    <row r="116" spans="1:7" ht="14.4">
      <c r="A116" s="1"/>
      <c r="B116" s="34"/>
      <c r="C116" s="34"/>
      <c r="D116" s="34"/>
      <c r="E116" s="34"/>
      <c r="F116" s="34"/>
      <c r="G116"/>
    </row>
    <row r="117" spans="1:7" ht="14.4">
      <c r="G117"/>
    </row>
    <row r="118" spans="1:7" ht="14.4">
      <c r="G118"/>
    </row>
    <row r="119" spans="1:7" ht="14.4">
      <c r="G119"/>
    </row>
    <row r="120" spans="1:7" ht="14.4">
      <c r="G120"/>
    </row>
    <row r="121" spans="1:7" ht="14.4">
      <c r="G121"/>
    </row>
    <row r="122" spans="1:7" ht="14.4">
      <c r="G122"/>
    </row>
    <row r="123" spans="1:7" ht="14.4">
      <c r="G123"/>
    </row>
    <row r="124" spans="1:7" ht="14.4">
      <c r="G124"/>
    </row>
    <row r="125" spans="1:7" ht="14.4">
      <c r="G125"/>
    </row>
    <row r="126" spans="1:7" ht="14.4">
      <c r="G126"/>
    </row>
    <row r="127" spans="1:7" ht="14.4">
      <c r="G127"/>
    </row>
    <row r="128" spans="1:7" ht="14.4">
      <c r="G128"/>
    </row>
    <row r="129" spans="7:7" ht="14.4">
      <c r="G129"/>
    </row>
    <row r="130" spans="7:7" ht="14.4">
      <c r="G130"/>
    </row>
    <row r="131" spans="7:7" ht="14.4">
      <c r="G131"/>
    </row>
    <row r="132" spans="7:7" ht="14.4">
      <c r="G132"/>
    </row>
    <row r="133" spans="7:7" ht="14.4">
      <c r="G133"/>
    </row>
  </sheetData>
  <sheetProtection algorithmName="SHA-512" hashValue="07IBMdRGV4NoqKKKSvZY/qmmGQZ6owk23DL3AT/w5h3JOtTM26Vzsz0kY2AOJeHNpm3AOhQQXGYdET3FrbAwOg==" saltValue="DrykMEghVr4QD8z8efm/nA==" spinCount="100000" sheet="1" objects="1" scenarios="1"/>
  <mergeCells count="1">
    <mergeCell ref="B4:G4"/>
  </mergeCells>
  <hyperlinks>
    <hyperlink ref="A1" location="'Data Pack Overview'!A1" display="H" xr:uid="{A38FF8A2-C003-4FD1-A339-11C91768C026}"/>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0E7DA-EBD6-4FFE-9D55-A6EBD55B484D}">
  <sheetPr>
    <tabColor rgb="FFFFC000"/>
  </sheetPr>
  <dimension ref="A1:U189"/>
  <sheetViews>
    <sheetView showGridLines="0" zoomScale="110" zoomScaleNormal="110" workbookViewId="0">
      <selection activeCell="I40" sqref="I40"/>
    </sheetView>
  </sheetViews>
  <sheetFormatPr defaultRowHeight="14.4"/>
  <cols>
    <col min="1" max="1" width="2" customWidth="1"/>
    <col min="2" max="2" width="19.44140625" customWidth="1"/>
    <col min="3" max="3" width="10.5546875" customWidth="1"/>
    <col min="6" max="6" width="9" customWidth="1"/>
    <col min="9" max="9" width="9.44140625" customWidth="1"/>
    <col min="12" max="12" width="9.33203125" customWidth="1"/>
    <col min="15" max="15" width="9.44140625" customWidth="1"/>
    <col min="18" max="18" width="9.44140625" customWidth="1"/>
  </cols>
  <sheetData>
    <row r="1" spans="1:21">
      <c r="A1" s="349" t="s">
        <v>32</v>
      </c>
      <c r="B1" s="350"/>
      <c r="C1" s="350"/>
      <c r="D1" s="350"/>
      <c r="E1" s="350"/>
      <c r="F1" s="350"/>
      <c r="G1" s="350"/>
      <c r="H1" s="350"/>
      <c r="I1" s="350"/>
      <c r="J1" s="351"/>
      <c r="K1" s="351"/>
      <c r="L1" s="350"/>
      <c r="M1" s="350"/>
      <c r="N1" s="350"/>
      <c r="O1" s="350"/>
      <c r="P1" s="350"/>
      <c r="Q1" s="352"/>
      <c r="R1" s="350"/>
      <c r="S1" s="350"/>
      <c r="T1" s="350"/>
      <c r="U1" s="350"/>
    </row>
    <row r="2" spans="1:21" ht="21">
      <c r="A2" s="350"/>
      <c r="B2" s="346" t="s">
        <v>1361</v>
      </c>
      <c r="C2" s="346"/>
      <c r="D2" s="350"/>
      <c r="E2" s="350"/>
      <c r="F2" s="353"/>
      <c r="G2" s="350"/>
      <c r="H2" s="350"/>
      <c r="I2" s="350"/>
      <c r="J2" s="351"/>
      <c r="K2" s="351"/>
      <c r="L2" s="350"/>
      <c r="M2" s="350"/>
      <c r="N2" s="350"/>
      <c r="O2" s="350"/>
      <c r="P2" s="350"/>
      <c r="Q2" s="354"/>
      <c r="R2" s="350"/>
      <c r="S2" s="350"/>
      <c r="T2" s="350"/>
      <c r="U2" s="350"/>
    </row>
    <row r="3" spans="1:21">
      <c r="A3" s="925"/>
      <c r="B3" s="925"/>
      <c r="C3" s="350"/>
      <c r="D3" s="350"/>
      <c r="E3" s="350"/>
      <c r="F3" s="350"/>
      <c r="G3" s="350"/>
      <c r="H3" s="350"/>
      <c r="I3" s="350"/>
      <c r="J3" s="351"/>
      <c r="K3" s="351"/>
      <c r="L3" s="350"/>
      <c r="M3" s="350"/>
      <c r="N3" s="350"/>
      <c r="O3" s="350"/>
      <c r="P3" s="350"/>
      <c r="Q3" s="352"/>
      <c r="R3" s="350"/>
      <c r="S3" s="350"/>
      <c r="T3" s="350"/>
      <c r="U3" s="350"/>
    </row>
    <row r="4" spans="1:21" ht="15.6">
      <c r="A4" s="350"/>
      <c r="B4" s="355" t="s">
        <v>1362</v>
      </c>
      <c r="C4" s="355"/>
      <c r="D4" s="347"/>
      <c r="E4" s="347"/>
      <c r="F4" s="347"/>
      <c r="G4" s="347"/>
      <c r="H4" s="347"/>
      <c r="I4" s="347"/>
      <c r="J4" s="356"/>
      <c r="K4" s="356"/>
      <c r="L4" s="347"/>
      <c r="M4" s="350"/>
      <c r="N4" s="350"/>
      <c r="O4" s="350"/>
      <c r="P4" s="350"/>
      <c r="Q4" s="352"/>
      <c r="R4" s="350"/>
      <c r="S4" s="350"/>
      <c r="T4" s="350"/>
      <c r="U4" s="350"/>
    </row>
    <row r="5" spans="1:21">
      <c r="A5" s="925"/>
      <c r="B5" s="925"/>
      <c r="C5" s="350"/>
      <c r="D5" s="347"/>
      <c r="E5" s="347"/>
      <c r="F5" s="347"/>
      <c r="G5" s="347"/>
      <c r="H5" s="347"/>
      <c r="I5" s="347"/>
      <c r="J5" s="356"/>
      <c r="K5" s="356"/>
      <c r="L5" s="347"/>
      <c r="M5" s="350"/>
      <c r="N5" s="350"/>
      <c r="O5" s="350"/>
      <c r="P5" s="350"/>
    </row>
    <row r="6" spans="1:21">
      <c r="A6" s="357"/>
      <c r="B6" s="358"/>
      <c r="C6" s="931" t="s">
        <v>39</v>
      </c>
      <c r="D6" s="934"/>
      <c r="E6" s="931" t="s">
        <v>40</v>
      </c>
      <c r="F6" s="932"/>
      <c r="G6" s="931" t="s">
        <v>41</v>
      </c>
      <c r="H6" s="932"/>
      <c r="I6" s="931" t="s">
        <v>42</v>
      </c>
      <c r="J6" s="932"/>
      <c r="K6" s="931" t="s">
        <v>43</v>
      </c>
      <c r="L6" s="932"/>
      <c r="M6" s="357"/>
      <c r="N6" s="357"/>
      <c r="O6" s="352"/>
      <c r="P6" s="357"/>
      <c r="Q6" s="357"/>
    </row>
    <row r="7" spans="1:21" ht="28.35" customHeight="1">
      <c r="A7" s="350"/>
      <c r="B7" s="359"/>
      <c r="C7" s="360" t="s">
        <v>1363</v>
      </c>
      <c r="D7" s="360" t="s">
        <v>1364</v>
      </c>
      <c r="E7" s="360" t="s">
        <v>1363</v>
      </c>
      <c r="F7" s="360" t="s">
        <v>1364</v>
      </c>
      <c r="G7" s="360" t="s">
        <v>1363</v>
      </c>
      <c r="H7" s="360" t="s">
        <v>1364</v>
      </c>
      <c r="I7" s="360" t="s">
        <v>1363</v>
      </c>
      <c r="J7" s="360" t="s">
        <v>1364</v>
      </c>
      <c r="K7" s="360" t="s">
        <v>1363</v>
      </c>
      <c r="L7" s="360" t="s">
        <v>1364</v>
      </c>
      <c r="M7" s="350"/>
      <c r="N7" s="350"/>
      <c r="O7" s="361"/>
      <c r="P7" s="350"/>
      <c r="Q7" s="350"/>
    </row>
    <row r="8" spans="1:21">
      <c r="A8" s="350"/>
      <c r="B8" s="362" t="s">
        <v>1365</v>
      </c>
      <c r="C8" s="769">
        <v>90200.960000000006</v>
      </c>
      <c r="D8" s="310">
        <v>115</v>
      </c>
      <c r="E8" s="769">
        <v>101700</v>
      </c>
      <c r="F8" s="83">
        <v>113</v>
      </c>
      <c r="G8" s="771">
        <v>111061</v>
      </c>
      <c r="H8" s="390">
        <v>117</v>
      </c>
      <c r="I8" s="769">
        <v>121505</v>
      </c>
      <c r="J8" s="390">
        <v>144</v>
      </c>
      <c r="K8" s="769">
        <v>158911</v>
      </c>
      <c r="L8" s="390">
        <v>143</v>
      </c>
      <c r="M8" s="350"/>
      <c r="N8" s="350"/>
      <c r="O8" s="363"/>
      <c r="P8" s="350"/>
      <c r="Q8" s="350"/>
    </row>
    <row r="9" spans="1:21">
      <c r="A9" s="350"/>
      <c r="B9" s="362" t="s">
        <v>1366</v>
      </c>
      <c r="C9" s="769">
        <v>75997.95</v>
      </c>
      <c r="D9" s="770"/>
      <c r="E9" s="769" t="s">
        <v>1367</v>
      </c>
      <c r="F9" s="770"/>
      <c r="G9" s="771">
        <v>100000</v>
      </c>
      <c r="H9" s="770"/>
      <c r="I9" s="769">
        <v>116437</v>
      </c>
      <c r="J9" s="770"/>
      <c r="K9" s="769">
        <v>134971</v>
      </c>
      <c r="L9" s="770"/>
      <c r="M9" s="350"/>
      <c r="N9" s="350"/>
      <c r="O9" s="352"/>
      <c r="P9" s="350"/>
      <c r="Q9" s="350"/>
    </row>
    <row r="10" spans="1:21">
      <c r="A10" s="350"/>
      <c r="B10" s="364" t="s">
        <v>61</v>
      </c>
      <c r="C10" s="467">
        <f>SUM(C8:C9)</f>
        <v>166198.91</v>
      </c>
      <c r="D10" s="364"/>
      <c r="E10" s="467">
        <v>190599</v>
      </c>
      <c r="F10" s="768">
        <v>113</v>
      </c>
      <c r="G10" s="467">
        <v>211061</v>
      </c>
      <c r="H10" s="768">
        <v>117</v>
      </c>
      <c r="I10" s="467">
        <v>237942</v>
      </c>
      <c r="J10" s="768">
        <v>144</v>
      </c>
      <c r="K10" s="467">
        <v>293881</v>
      </c>
      <c r="L10" s="768">
        <v>143</v>
      </c>
      <c r="M10" s="350"/>
      <c r="N10" s="350"/>
      <c r="O10" s="361"/>
      <c r="P10" s="350"/>
      <c r="Q10" s="350"/>
    </row>
    <row r="11" spans="1:21">
      <c r="A11" s="925"/>
      <c r="B11" s="925"/>
      <c r="C11" s="350"/>
      <c r="D11" s="347"/>
      <c r="E11" s="347"/>
      <c r="F11" s="347"/>
      <c r="G11" s="347"/>
      <c r="H11" s="347"/>
      <c r="I11" s="347"/>
      <c r="J11" s="356"/>
      <c r="K11" s="356"/>
      <c r="L11" s="347"/>
      <c r="M11" s="350"/>
      <c r="N11" s="350"/>
      <c r="O11" s="350"/>
      <c r="P11" s="350"/>
    </row>
    <row r="12" spans="1:21">
      <c r="A12" s="350"/>
      <c r="B12" s="352" t="s">
        <v>1368</v>
      </c>
      <c r="C12" s="352"/>
      <c r="D12" s="347"/>
      <c r="E12" s="347"/>
      <c r="F12" s="347"/>
      <c r="G12" s="347"/>
      <c r="H12" s="347"/>
      <c r="I12" s="347"/>
      <c r="J12" s="356"/>
      <c r="K12" s="356"/>
      <c r="L12" s="347"/>
      <c r="M12" s="350"/>
      <c r="N12" s="350"/>
      <c r="O12" s="350"/>
      <c r="P12" s="350"/>
      <c r="Q12" s="361"/>
      <c r="R12" s="350"/>
      <c r="S12" s="350"/>
      <c r="T12" s="350"/>
      <c r="U12" s="350"/>
    </row>
    <row r="13" spans="1:21">
      <c r="A13" s="350"/>
      <c r="B13" s="352" t="s">
        <v>1369</v>
      </c>
      <c r="C13" s="352"/>
      <c r="D13" s="347"/>
      <c r="E13" s="347"/>
      <c r="F13" s="347"/>
      <c r="G13" s="347"/>
      <c r="H13" s="347"/>
      <c r="I13" s="347"/>
      <c r="J13" s="356"/>
      <c r="K13" s="356"/>
      <c r="L13" s="347"/>
      <c r="M13" s="350"/>
      <c r="N13" s="350"/>
      <c r="O13" s="350"/>
      <c r="P13" s="350"/>
      <c r="Q13" s="352"/>
      <c r="R13" s="350"/>
      <c r="S13" s="350"/>
      <c r="T13" s="350"/>
      <c r="U13" s="350"/>
    </row>
    <row r="14" spans="1:21">
      <c r="A14" s="36"/>
      <c r="B14" s="352" t="s">
        <v>1370</v>
      </c>
      <c r="C14" s="352"/>
      <c r="D14" s="350"/>
      <c r="E14" s="347"/>
      <c r="F14" s="347"/>
      <c r="G14" s="347"/>
      <c r="H14" s="347"/>
      <c r="I14" s="347"/>
      <c r="J14" s="356"/>
      <c r="K14" s="356"/>
      <c r="L14" s="347"/>
      <c r="M14" s="350"/>
      <c r="N14" s="350"/>
      <c r="O14" s="350"/>
      <c r="P14" s="350"/>
      <c r="Q14" s="352"/>
      <c r="R14" s="350"/>
      <c r="S14" s="350"/>
      <c r="T14" s="350"/>
      <c r="U14" s="350"/>
    </row>
    <row r="15" spans="1:21">
      <c r="A15" s="352"/>
      <c r="B15" s="352"/>
      <c r="C15" s="352"/>
      <c r="D15" s="347"/>
      <c r="E15" s="347"/>
      <c r="F15" s="347"/>
      <c r="G15" s="347"/>
      <c r="H15" s="347"/>
      <c r="I15" s="347"/>
      <c r="J15" s="356"/>
      <c r="K15" s="356"/>
      <c r="L15" s="347"/>
      <c r="M15" s="350"/>
      <c r="N15" s="350"/>
      <c r="O15" s="350"/>
      <c r="P15" s="350"/>
      <c r="Q15" s="352"/>
      <c r="R15" s="350"/>
      <c r="S15" s="350"/>
      <c r="T15" s="350"/>
      <c r="U15" s="350"/>
    </row>
    <row r="16" spans="1:21" ht="15.6">
      <c r="A16" s="350"/>
      <c r="B16" s="355" t="s">
        <v>1371</v>
      </c>
      <c r="C16" s="355"/>
      <c r="D16" s="347"/>
      <c r="E16" s="365"/>
      <c r="F16" s="347"/>
      <c r="G16" s="347"/>
      <c r="H16" s="347"/>
      <c r="I16" s="347"/>
      <c r="J16" s="356"/>
      <c r="K16" s="356"/>
      <c r="L16" s="347"/>
      <c r="M16" s="350"/>
      <c r="N16" s="350"/>
      <c r="O16" s="350"/>
      <c r="P16" s="350"/>
      <c r="Q16" s="361"/>
      <c r="R16" s="350"/>
    </row>
    <row r="17" spans="1:21">
      <c r="A17" s="925"/>
      <c r="B17" s="925"/>
      <c r="C17" s="350"/>
      <c r="D17" s="366"/>
      <c r="E17" s="366"/>
      <c r="F17" s="366"/>
      <c r="G17" s="366"/>
      <c r="H17" s="366"/>
      <c r="I17" s="366"/>
      <c r="J17" s="366"/>
      <c r="K17" s="366"/>
      <c r="L17" s="366"/>
      <c r="M17" s="350"/>
      <c r="N17" s="350"/>
      <c r="O17" s="350"/>
      <c r="P17" s="350"/>
      <c r="Q17" s="361"/>
      <c r="R17" s="350"/>
    </row>
    <row r="18" spans="1:21">
      <c r="A18" s="350"/>
      <c r="B18" s="367"/>
      <c r="C18" s="931" t="s">
        <v>39</v>
      </c>
      <c r="D18" s="933"/>
      <c r="E18" s="932"/>
      <c r="F18" s="931" t="s">
        <v>40</v>
      </c>
      <c r="G18" s="933"/>
      <c r="H18" s="932"/>
      <c r="I18" s="931" t="s">
        <v>41</v>
      </c>
      <c r="J18" s="933"/>
      <c r="K18" s="932"/>
      <c r="L18" s="931" t="s">
        <v>42</v>
      </c>
      <c r="M18" s="933"/>
      <c r="N18" s="932"/>
      <c r="O18" s="931" t="s">
        <v>43</v>
      </c>
      <c r="P18" s="933"/>
      <c r="Q18" s="932"/>
      <c r="R18" s="350"/>
      <c r="S18" s="361"/>
      <c r="T18" s="350"/>
    </row>
    <row r="19" spans="1:21" ht="42" customHeight="1">
      <c r="A19" s="368"/>
      <c r="B19" s="369"/>
      <c r="C19" s="369" t="s">
        <v>1372</v>
      </c>
      <c r="D19" s="369" t="s">
        <v>1373</v>
      </c>
      <c r="E19" s="369" t="s">
        <v>1374</v>
      </c>
      <c r="F19" s="369" t="s">
        <v>1372</v>
      </c>
      <c r="G19" s="369" t="s">
        <v>1373</v>
      </c>
      <c r="H19" s="369" t="s">
        <v>1375</v>
      </c>
      <c r="I19" s="369" t="s">
        <v>1372</v>
      </c>
      <c r="J19" s="369" t="s">
        <v>1373</v>
      </c>
      <c r="K19" s="369" t="s">
        <v>1375</v>
      </c>
      <c r="L19" s="369" t="s">
        <v>1372</v>
      </c>
      <c r="M19" s="369" t="s">
        <v>1373</v>
      </c>
      <c r="N19" s="369" t="s">
        <v>1375</v>
      </c>
      <c r="O19" s="369" t="s">
        <v>1372</v>
      </c>
      <c r="P19" s="369" t="s">
        <v>1373</v>
      </c>
      <c r="Q19" s="369" t="s">
        <v>1375</v>
      </c>
      <c r="R19" s="368"/>
      <c r="S19" s="361"/>
      <c r="T19" s="368"/>
    </row>
    <row r="20" spans="1:21">
      <c r="A20" s="370"/>
      <c r="B20" s="371" t="s">
        <v>1376</v>
      </c>
      <c r="C20" s="371">
        <v>193</v>
      </c>
      <c r="D20" s="776">
        <v>851.5</v>
      </c>
      <c r="E20" s="543">
        <v>65207.87</v>
      </c>
      <c r="F20" s="372">
        <v>203</v>
      </c>
      <c r="G20" s="372">
        <v>710</v>
      </c>
      <c r="H20" s="373">
        <v>54372</v>
      </c>
      <c r="I20" s="374">
        <v>180</v>
      </c>
      <c r="J20" s="374">
        <v>613</v>
      </c>
      <c r="K20" s="375">
        <v>46913</v>
      </c>
      <c r="L20" s="374">
        <v>203</v>
      </c>
      <c r="M20" s="374">
        <v>914</v>
      </c>
      <c r="N20" s="375">
        <v>80602</v>
      </c>
      <c r="O20" s="374">
        <v>355</v>
      </c>
      <c r="P20" s="374">
        <v>1490</v>
      </c>
      <c r="Q20" s="375">
        <v>131433</v>
      </c>
      <c r="R20" s="370"/>
      <c r="S20" s="361"/>
      <c r="T20" s="370"/>
    </row>
    <row r="21" spans="1:21">
      <c r="A21" s="370"/>
      <c r="B21" s="371" t="s">
        <v>1377</v>
      </c>
      <c r="C21" s="371">
        <v>124</v>
      </c>
      <c r="D21" s="776">
        <v>707.5</v>
      </c>
      <c r="E21" s="543">
        <v>54180.35</v>
      </c>
      <c r="F21" s="201">
        <v>79</v>
      </c>
      <c r="G21" s="292">
        <v>373</v>
      </c>
      <c r="H21" s="376">
        <v>28526</v>
      </c>
      <c r="I21" s="377">
        <v>77</v>
      </c>
      <c r="J21" s="371">
        <v>446</v>
      </c>
      <c r="K21" s="378">
        <v>34174</v>
      </c>
      <c r="L21" s="377">
        <v>125</v>
      </c>
      <c r="M21" s="371">
        <v>721</v>
      </c>
      <c r="N21" s="378">
        <v>63599</v>
      </c>
      <c r="O21" s="377">
        <v>144</v>
      </c>
      <c r="P21" s="377">
        <v>996</v>
      </c>
      <c r="Q21" s="378">
        <v>87813</v>
      </c>
      <c r="R21" s="370"/>
      <c r="S21" s="361"/>
      <c r="T21" s="370"/>
    </row>
    <row r="22" spans="1:21">
      <c r="A22" s="370"/>
      <c r="B22" s="371" t="s">
        <v>1378</v>
      </c>
      <c r="C22" s="371">
        <v>5</v>
      </c>
      <c r="D22" s="776">
        <v>51.5</v>
      </c>
      <c r="E22" s="543">
        <v>3943.87</v>
      </c>
      <c r="F22" s="372">
        <v>25</v>
      </c>
      <c r="G22" s="372">
        <v>356</v>
      </c>
      <c r="H22" s="373">
        <v>27270</v>
      </c>
      <c r="I22" s="374">
        <v>87</v>
      </c>
      <c r="J22" s="374">
        <v>601</v>
      </c>
      <c r="K22" s="375">
        <v>46055</v>
      </c>
      <c r="L22" s="374">
        <v>154</v>
      </c>
      <c r="M22" s="374">
        <v>753</v>
      </c>
      <c r="N22" s="375">
        <v>66440</v>
      </c>
      <c r="O22" s="374">
        <v>247</v>
      </c>
      <c r="P22" s="374">
        <v>889</v>
      </c>
      <c r="Q22" s="375">
        <v>78445</v>
      </c>
      <c r="R22" s="370"/>
      <c r="S22" s="361"/>
      <c r="T22" s="370"/>
    </row>
    <row r="23" spans="1:21">
      <c r="A23" s="370"/>
      <c r="B23" s="371" t="s">
        <v>1379</v>
      </c>
      <c r="C23" s="371">
        <v>19</v>
      </c>
      <c r="D23" s="776">
        <v>30.5</v>
      </c>
      <c r="E23" s="543">
        <v>2335.69</v>
      </c>
      <c r="F23" s="372">
        <v>37</v>
      </c>
      <c r="G23" s="372">
        <v>120</v>
      </c>
      <c r="H23" s="373">
        <v>9190</v>
      </c>
      <c r="I23" s="374">
        <v>46</v>
      </c>
      <c r="J23" s="374">
        <v>238</v>
      </c>
      <c r="K23" s="375">
        <v>18188</v>
      </c>
      <c r="L23" s="374">
        <v>54</v>
      </c>
      <c r="M23" s="374">
        <v>773</v>
      </c>
      <c r="N23" s="375">
        <v>68186</v>
      </c>
      <c r="O23" s="374">
        <v>61</v>
      </c>
      <c r="P23" s="374">
        <v>917</v>
      </c>
      <c r="Q23" s="375">
        <v>80844</v>
      </c>
      <c r="R23" s="370"/>
      <c r="S23" s="361"/>
      <c r="T23" s="370"/>
    </row>
    <row r="24" spans="1:21">
      <c r="A24" s="370"/>
      <c r="B24" s="371" t="s">
        <v>1380</v>
      </c>
      <c r="C24" s="371">
        <v>0</v>
      </c>
      <c r="D24" s="776">
        <v>0</v>
      </c>
      <c r="E24" s="543">
        <f t="shared" ref="E24" si="0">D24*69.83</f>
        <v>0</v>
      </c>
      <c r="F24" s="372">
        <v>0</v>
      </c>
      <c r="G24" s="372">
        <v>0</v>
      </c>
      <c r="H24" s="372">
        <v>0</v>
      </c>
      <c r="I24" s="374">
        <v>0</v>
      </c>
      <c r="J24" s="374">
        <v>0</v>
      </c>
      <c r="K24" s="375">
        <v>0</v>
      </c>
      <c r="L24" s="374">
        <v>78</v>
      </c>
      <c r="M24" s="374">
        <v>318</v>
      </c>
      <c r="N24" s="375">
        <v>28051</v>
      </c>
      <c r="O24" s="374">
        <v>90</v>
      </c>
      <c r="P24" s="374">
        <v>281</v>
      </c>
      <c r="Q24" s="375">
        <v>24787</v>
      </c>
      <c r="R24" s="370"/>
      <c r="S24" s="361"/>
      <c r="T24" s="370"/>
    </row>
    <row r="25" spans="1:21">
      <c r="A25" s="370"/>
      <c r="B25" s="364" t="s">
        <v>1381</v>
      </c>
      <c r="C25" s="58">
        <v>282</v>
      </c>
      <c r="D25" s="777">
        <f>SUM(D20:D24)</f>
        <v>1641</v>
      </c>
      <c r="E25" s="468">
        <f>SUM(E20:E24)</f>
        <v>125667.78</v>
      </c>
      <c r="F25" s="379">
        <v>279</v>
      </c>
      <c r="G25" s="778">
        <v>1559</v>
      </c>
      <c r="H25" s="380">
        <v>119358</v>
      </c>
      <c r="I25" s="379">
        <v>325</v>
      </c>
      <c r="J25" s="779">
        <v>1898</v>
      </c>
      <c r="K25" s="380">
        <v>145330</v>
      </c>
      <c r="L25" s="382">
        <v>488</v>
      </c>
      <c r="M25" s="779">
        <v>3479</v>
      </c>
      <c r="N25" s="380">
        <v>306878</v>
      </c>
      <c r="O25" s="381">
        <v>624</v>
      </c>
      <c r="P25" s="381">
        <v>4572</v>
      </c>
      <c r="Q25" s="380">
        <v>403323</v>
      </c>
      <c r="R25" s="370"/>
      <c r="S25" s="361"/>
      <c r="T25" s="370"/>
    </row>
    <row r="26" spans="1:21">
      <c r="A26" s="925"/>
      <c r="B26" s="925"/>
      <c r="C26" s="350"/>
      <c r="D26" s="347"/>
      <c r="E26" s="347"/>
      <c r="F26" s="347"/>
      <c r="G26" s="347"/>
      <c r="H26" s="347"/>
      <c r="I26" s="347"/>
      <c r="J26" s="356"/>
      <c r="K26" s="356"/>
      <c r="L26" s="347"/>
      <c r="M26" s="350"/>
      <c r="N26" s="350"/>
      <c r="O26" s="350"/>
      <c r="P26" s="350"/>
      <c r="Q26" s="361"/>
      <c r="R26" s="350"/>
    </row>
    <row r="27" spans="1:21" ht="23.1" customHeight="1">
      <c r="A27" s="370"/>
      <c r="B27" s="469" t="s">
        <v>1382</v>
      </c>
      <c r="C27" s="469"/>
      <c r="D27" s="470"/>
      <c r="E27" s="470"/>
      <c r="F27" s="470"/>
      <c r="G27" s="470"/>
      <c r="H27" s="470"/>
      <c r="I27" s="470"/>
      <c r="J27" s="471"/>
      <c r="K27" s="471"/>
      <c r="L27" s="470"/>
      <c r="M27" s="470"/>
      <c r="N27" s="470"/>
      <c r="O27" s="470"/>
      <c r="P27" s="470"/>
      <c r="Q27" s="472"/>
      <c r="R27" s="470"/>
      <c r="S27" s="370"/>
      <c r="T27" s="370"/>
      <c r="U27" s="370"/>
    </row>
    <row r="28" spans="1:21" ht="24" customHeight="1">
      <c r="A28" s="370"/>
      <c r="B28" s="935" t="s">
        <v>1383</v>
      </c>
      <c r="C28" s="935"/>
      <c r="D28" s="935"/>
      <c r="E28" s="935"/>
      <c r="F28" s="935"/>
      <c r="G28" s="935"/>
      <c r="H28" s="935"/>
      <c r="I28" s="935"/>
      <c r="J28" s="935"/>
      <c r="K28" s="935"/>
      <c r="L28" s="935"/>
      <c r="M28" s="935"/>
      <c r="N28" s="935"/>
      <c r="O28" s="935"/>
      <c r="P28" s="935"/>
      <c r="Q28" s="935"/>
      <c r="R28" s="935"/>
      <c r="S28" s="370"/>
      <c r="T28" s="370"/>
      <c r="U28" s="370"/>
    </row>
    <row r="29" spans="1:21" ht="22.35" customHeight="1">
      <c r="A29" s="370"/>
      <c r="B29" s="930" t="s">
        <v>1384</v>
      </c>
      <c r="C29" s="930"/>
      <c r="D29" s="930"/>
      <c r="E29" s="930"/>
      <c r="F29" s="930"/>
      <c r="G29" s="930"/>
      <c r="H29" s="930"/>
      <c r="I29" s="930"/>
      <c r="J29" s="930"/>
      <c r="K29" s="930"/>
      <c r="L29" s="930"/>
      <c r="M29" s="930"/>
      <c r="N29" s="930"/>
      <c r="O29" s="930"/>
      <c r="P29" s="470"/>
      <c r="Q29" s="473"/>
      <c r="R29" s="470"/>
      <c r="S29" s="370"/>
      <c r="T29" s="370"/>
      <c r="U29" s="370"/>
    </row>
    <row r="30" spans="1:21" ht="27" customHeight="1">
      <c r="A30" s="370"/>
      <c r="B30" s="930" t="s">
        <v>1385</v>
      </c>
      <c r="C30" s="930"/>
      <c r="D30" s="930"/>
      <c r="E30" s="930"/>
      <c r="F30" s="930"/>
      <c r="G30" s="930"/>
      <c r="H30" s="930"/>
      <c r="I30" s="930"/>
      <c r="J30" s="930"/>
      <c r="K30" s="930"/>
      <c r="L30" s="930"/>
      <c r="M30" s="930"/>
      <c r="N30" s="930"/>
      <c r="O30" s="930"/>
      <c r="P30" s="930"/>
      <c r="Q30" s="930"/>
      <c r="R30" s="930"/>
      <c r="S30" s="370"/>
      <c r="T30" s="370"/>
      <c r="U30" s="370"/>
    </row>
    <row r="31" spans="1:21" ht="18" customHeight="1">
      <c r="A31" s="370"/>
      <c r="B31" s="930" t="s">
        <v>1386</v>
      </c>
      <c r="C31" s="930"/>
      <c r="D31" s="930"/>
      <c r="E31" s="930"/>
      <c r="F31" s="930"/>
      <c r="G31" s="930"/>
      <c r="H31" s="930"/>
      <c r="I31" s="930"/>
      <c r="J31" s="930"/>
      <c r="K31" s="930"/>
      <c r="L31" s="930"/>
      <c r="M31" s="930"/>
      <c r="N31" s="930"/>
      <c r="O31" s="930"/>
      <c r="P31" s="470"/>
      <c r="Q31" s="470"/>
      <c r="R31" s="470"/>
      <c r="S31" s="370"/>
      <c r="T31" s="370"/>
      <c r="U31" s="370"/>
    </row>
    <row r="32" spans="1:21" ht="19.5" customHeight="1">
      <c r="A32" s="385"/>
      <c r="B32" s="881" t="s">
        <v>1387</v>
      </c>
      <c r="C32" s="881"/>
      <c r="D32" s="881"/>
      <c r="E32" s="881"/>
      <c r="F32" s="881"/>
      <c r="G32" s="881"/>
      <c r="H32" s="881"/>
      <c r="I32" s="881"/>
      <c r="J32" s="881"/>
      <c r="K32" s="881"/>
      <c r="L32" s="881"/>
      <c r="M32" s="881"/>
      <c r="N32" s="881"/>
      <c r="O32" s="881"/>
      <c r="P32" s="881"/>
      <c r="Q32" s="881"/>
      <c r="R32" s="881"/>
      <c r="S32" s="386"/>
      <c r="T32" s="386"/>
      <c r="U32" s="386"/>
    </row>
    <row r="33" spans="1:21" ht="21" customHeight="1">
      <c r="A33" s="370"/>
      <c r="B33" s="929" t="s">
        <v>1388</v>
      </c>
      <c r="C33" s="929"/>
      <c r="D33" s="929"/>
      <c r="E33" s="929"/>
      <c r="F33" s="929"/>
      <c r="G33" s="929"/>
      <c r="H33" s="929"/>
      <c r="I33" s="929"/>
      <c r="J33" s="929"/>
      <c r="K33" s="929"/>
      <c r="L33" s="929"/>
      <c r="M33" s="929"/>
      <c r="N33" s="929"/>
      <c r="O33" s="929"/>
      <c r="P33" s="370"/>
      <c r="Q33" s="384"/>
      <c r="R33" s="370"/>
      <c r="S33" s="370"/>
      <c r="T33" s="370"/>
      <c r="U33" s="370"/>
    </row>
    <row r="34" spans="1:21">
      <c r="A34" s="925"/>
      <c r="B34" s="925"/>
      <c r="C34" s="350"/>
      <c r="D34" s="350"/>
      <c r="E34" s="350"/>
      <c r="F34" s="350"/>
      <c r="G34" s="350"/>
      <c r="H34" s="350"/>
      <c r="I34" s="350"/>
      <c r="J34" s="351"/>
      <c r="K34" s="351"/>
      <c r="L34" s="350"/>
      <c r="M34" s="350"/>
      <c r="N34" s="350"/>
      <c r="O34" s="350"/>
      <c r="P34" s="350"/>
      <c r="Q34" s="361"/>
      <c r="R34" s="350"/>
      <c r="S34" s="350"/>
      <c r="T34" s="350"/>
      <c r="U34" s="350"/>
    </row>
    <row r="35" spans="1:21" ht="15.6">
      <c r="A35" s="350"/>
      <c r="B35" s="355" t="s">
        <v>1389</v>
      </c>
      <c r="C35" s="355"/>
      <c r="D35" s="350"/>
      <c r="E35" s="350"/>
      <c r="F35" s="350"/>
      <c r="G35" s="350"/>
      <c r="H35" s="351"/>
      <c r="I35" s="350"/>
      <c r="J35" s="350"/>
      <c r="K35" s="350"/>
      <c r="L35" s="350"/>
      <c r="M35" s="350"/>
      <c r="N35" s="361"/>
      <c r="O35" s="350"/>
      <c r="P35" s="350"/>
      <c r="Q35" s="350"/>
      <c r="R35" s="350"/>
    </row>
    <row r="36" spans="1:21">
      <c r="A36" s="925"/>
      <c r="B36" s="925"/>
      <c r="C36" s="350"/>
      <c r="D36" s="352"/>
      <c r="E36" s="352"/>
      <c r="F36" s="352"/>
      <c r="G36" s="352"/>
      <c r="H36" s="351"/>
      <c r="I36" s="350"/>
      <c r="J36" s="350"/>
      <c r="K36" s="350"/>
      <c r="L36" s="350"/>
      <c r="M36" s="350"/>
      <c r="N36" s="361"/>
      <c r="O36" s="350"/>
      <c r="P36" s="350"/>
      <c r="Q36" s="350"/>
      <c r="R36" s="350"/>
    </row>
    <row r="37" spans="1:21">
      <c r="A37" s="350"/>
      <c r="B37" s="387"/>
      <c r="C37" s="388" t="s">
        <v>39</v>
      </c>
      <c r="D37" s="388" t="s">
        <v>40</v>
      </c>
      <c r="E37" s="388" t="s">
        <v>41</v>
      </c>
      <c r="F37" s="388" t="s">
        <v>42</v>
      </c>
      <c r="G37" s="388" t="s">
        <v>43</v>
      </c>
      <c r="H37" s="352"/>
      <c r="I37" s="351"/>
      <c r="J37" s="351"/>
      <c r="K37" s="350"/>
      <c r="L37" s="350"/>
      <c r="M37" s="350"/>
      <c r="N37" s="350"/>
      <c r="O37" s="361"/>
      <c r="P37" s="350"/>
      <c r="Q37" s="350"/>
      <c r="R37" s="350"/>
    </row>
    <row r="38" spans="1:21">
      <c r="A38" s="370"/>
      <c r="B38" s="371" t="s">
        <v>1390</v>
      </c>
      <c r="C38" s="474">
        <v>0.23</v>
      </c>
      <c r="D38" s="389">
        <v>0.23</v>
      </c>
      <c r="E38" s="390" t="s">
        <v>1391</v>
      </c>
      <c r="F38" s="391">
        <v>0.28999999999999998</v>
      </c>
      <c r="G38" s="391">
        <v>0.31</v>
      </c>
      <c r="H38" s="392"/>
      <c r="I38" s="383"/>
      <c r="J38" s="383"/>
      <c r="K38" s="370"/>
      <c r="L38" s="370"/>
      <c r="M38" s="370"/>
      <c r="N38" s="370"/>
      <c r="O38" s="361"/>
      <c r="P38" s="370"/>
      <c r="Q38" s="370"/>
      <c r="R38" s="370"/>
    </row>
    <row r="39" spans="1:21">
      <c r="A39" s="370"/>
      <c r="B39" s="371" t="s">
        <v>1392</v>
      </c>
      <c r="C39" s="474">
        <v>0.158</v>
      </c>
      <c r="D39" s="389">
        <v>0.15</v>
      </c>
      <c r="E39" s="391">
        <v>0.2</v>
      </c>
      <c r="F39" s="391">
        <v>0.3</v>
      </c>
      <c r="G39" s="391">
        <v>0.41</v>
      </c>
      <c r="H39" s="392"/>
      <c r="I39" s="383"/>
      <c r="J39" s="383"/>
      <c r="K39" s="370"/>
      <c r="L39" s="370"/>
      <c r="M39" s="370"/>
      <c r="N39" s="370"/>
      <c r="O39" s="361"/>
      <c r="P39" s="370"/>
      <c r="Q39" s="370"/>
      <c r="R39" s="370"/>
    </row>
    <row r="40" spans="1:21">
      <c r="A40" s="925"/>
      <c r="B40" s="925"/>
      <c r="C40" s="350"/>
      <c r="D40" s="352"/>
      <c r="E40" s="352"/>
      <c r="F40" s="352"/>
      <c r="G40" s="352"/>
      <c r="H40" s="351"/>
      <c r="I40" s="350"/>
      <c r="J40" s="350"/>
      <c r="K40" s="350"/>
      <c r="L40" s="350"/>
      <c r="M40" s="350"/>
      <c r="N40" s="361"/>
      <c r="O40" s="350"/>
      <c r="P40" s="350"/>
      <c r="Q40" s="350"/>
      <c r="R40" s="350"/>
    </row>
    <row r="41" spans="1:21" ht="22.2" customHeight="1">
      <c r="A41" s="350"/>
      <c r="B41" s="927" t="s">
        <v>1393</v>
      </c>
      <c r="C41" s="927"/>
      <c r="D41" s="927"/>
      <c r="E41" s="927"/>
      <c r="F41" s="927"/>
      <c r="G41" s="927"/>
      <c r="H41" s="927"/>
      <c r="I41" s="927"/>
      <c r="J41" s="927"/>
      <c r="K41" s="927"/>
      <c r="L41" s="927"/>
      <c r="M41" s="927"/>
      <c r="N41" s="927"/>
      <c r="O41" s="927"/>
      <c r="P41" s="350"/>
      <c r="Q41" s="361"/>
      <c r="R41" s="350"/>
      <c r="S41" s="350"/>
      <c r="T41" s="350"/>
      <c r="U41" s="350"/>
    </row>
    <row r="42" spans="1:21">
      <c r="A42" s="350"/>
      <c r="B42" s="927" t="s">
        <v>1394</v>
      </c>
      <c r="C42" s="927"/>
      <c r="D42" s="927"/>
      <c r="E42" s="927"/>
      <c r="F42" s="927"/>
      <c r="G42" s="927"/>
      <c r="H42" s="927"/>
      <c r="I42" s="927"/>
      <c r="J42" s="927"/>
      <c r="K42" s="927"/>
      <c r="L42" s="927"/>
      <c r="M42" s="927"/>
      <c r="N42" s="927"/>
      <c r="O42" s="927"/>
      <c r="P42" s="350"/>
      <c r="Q42" s="361"/>
      <c r="R42" s="350"/>
      <c r="S42" s="350"/>
      <c r="T42" s="350"/>
      <c r="U42" s="350"/>
    </row>
    <row r="43" spans="1:21" ht="22.35" customHeight="1">
      <c r="A43" s="350"/>
      <c r="B43" s="927" t="s">
        <v>1395</v>
      </c>
      <c r="C43" s="927"/>
      <c r="D43" s="927"/>
      <c r="E43" s="927"/>
      <c r="F43" s="927"/>
      <c r="G43" s="927"/>
      <c r="H43" s="927"/>
      <c r="I43" s="927"/>
      <c r="J43" s="927"/>
      <c r="K43" s="927"/>
      <c r="L43" s="927"/>
      <c r="M43" s="927"/>
      <c r="N43" s="927"/>
      <c r="O43" s="927"/>
      <c r="P43" s="350"/>
      <c r="Q43" s="361"/>
      <c r="R43" s="350"/>
      <c r="S43" s="350"/>
      <c r="T43" s="350"/>
      <c r="U43" s="350"/>
    </row>
    <row r="44" spans="1:21">
      <c r="A44" s="350"/>
      <c r="B44" s="928"/>
      <c r="C44" s="928"/>
      <c r="D44" s="928"/>
      <c r="E44" s="928"/>
      <c r="F44" s="928"/>
      <c r="G44" s="928"/>
      <c r="H44" s="928"/>
      <c r="I44" s="928"/>
      <c r="J44" s="928"/>
      <c r="K44" s="928"/>
      <c r="L44" s="928"/>
      <c r="M44" s="928"/>
      <c r="N44" s="928"/>
      <c r="O44" s="928"/>
      <c r="P44" s="350"/>
      <c r="Q44" s="361"/>
      <c r="R44" s="350"/>
      <c r="S44" s="350"/>
      <c r="T44" s="350"/>
      <c r="U44" s="350"/>
    </row>
    <row r="45" spans="1:21">
      <c r="A45" s="925"/>
      <c r="B45" s="925"/>
      <c r="C45" s="350"/>
      <c r="D45" s="350"/>
      <c r="E45" s="350"/>
      <c r="F45" s="350"/>
      <c r="G45" s="350"/>
      <c r="H45" s="350"/>
      <c r="I45" s="350"/>
      <c r="J45" s="351"/>
      <c r="K45" s="351"/>
      <c r="L45" s="350"/>
      <c r="M45" s="350"/>
      <c r="N45" s="350"/>
      <c r="O45" s="350"/>
      <c r="P45" s="350"/>
      <c r="Q45" s="352"/>
      <c r="R45" s="350"/>
      <c r="S45" s="350"/>
      <c r="T45" s="350"/>
      <c r="U45" s="350"/>
    </row>
    <row r="46" spans="1:21">
      <c r="A46" s="925"/>
      <c r="B46" s="925"/>
      <c r="C46" s="350"/>
      <c r="D46" s="350"/>
      <c r="E46" s="350"/>
      <c r="F46" s="350"/>
      <c r="G46" s="350"/>
      <c r="H46" s="350"/>
      <c r="I46" s="350"/>
      <c r="J46" s="351"/>
      <c r="K46" s="351"/>
      <c r="L46" s="350"/>
      <c r="M46" s="350"/>
      <c r="N46" s="350"/>
      <c r="O46" s="350"/>
      <c r="P46" s="350"/>
      <c r="Q46" s="352"/>
      <c r="R46" s="350"/>
      <c r="S46" s="350"/>
      <c r="T46" s="350"/>
      <c r="U46" s="350"/>
    </row>
    <row r="47" spans="1:21">
      <c r="A47" s="925"/>
      <c r="B47" s="925"/>
      <c r="C47" s="350"/>
      <c r="D47" s="393"/>
      <c r="E47" s="350"/>
      <c r="F47" s="350"/>
      <c r="G47" s="350"/>
      <c r="H47" s="350"/>
      <c r="I47" s="350"/>
      <c r="J47" s="351"/>
      <c r="K47" s="351"/>
      <c r="L47" s="350"/>
      <c r="M47" s="350"/>
      <c r="N47" s="350"/>
      <c r="O47" s="350"/>
      <c r="P47" s="350"/>
      <c r="Q47" s="350"/>
      <c r="R47" s="350"/>
      <c r="S47" s="350"/>
      <c r="T47" s="350"/>
      <c r="U47" s="350"/>
    </row>
    <row r="48" spans="1:21">
      <c r="A48" s="350"/>
      <c r="B48" s="926"/>
      <c r="C48" s="926"/>
      <c r="D48" s="926"/>
      <c r="E48" s="926"/>
      <c r="F48" s="926"/>
      <c r="G48" s="926"/>
      <c r="H48" s="926"/>
      <c r="I48" s="926"/>
      <c r="J48" s="351"/>
      <c r="K48" s="351"/>
      <c r="L48" s="350"/>
      <c r="M48" s="350"/>
      <c r="N48" s="350"/>
      <c r="O48" s="350"/>
      <c r="P48" s="350"/>
      <c r="Q48" s="352"/>
      <c r="R48" s="350"/>
      <c r="S48" s="350"/>
      <c r="T48" s="350"/>
      <c r="U48" s="350"/>
    </row>
    <row r="49" spans="1:21">
      <c r="A49" s="925"/>
      <c r="B49" s="925"/>
      <c r="C49" s="350"/>
      <c r="D49" s="350"/>
      <c r="E49" s="350"/>
      <c r="F49" s="350"/>
      <c r="G49" s="350"/>
      <c r="H49" s="350"/>
      <c r="I49" s="350"/>
      <c r="J49" s="351"/>
      <c r="K49" s="351"/>
      <c r="L49" s="350"/>
      <c r="M49" s="350"/>
      <c r="N49" s="350"/>
      <c r="O49" s="350"/>
      <c r="P49" s="350"/>
      <c r="Q49" s="352"/>
      <c r="R49" s="350"/>
      <c r="S49" s="350"/>
      <c r="T49" s="350"/>
      <c r="U49" s="350"/>
    </row>
    <row r="50" spans="1:21">
      <c r="A50" s="925"/>
      <c r="B50" s="925"/>
      <c r="C50" s="350"/>
      <c r="D50" s="350"/>
      <c r="E50" s="350"/>
      <c r="F50" s="350"/>
      <c r="G50" s="350"/>
      <c r="H50" s="350"/>
      <c r="I50" s="350"/>
      <c r="J50" s="351"/>
      <c r="K50" s="351"/>
      <c r="L50" s="350"/>
      <c r="M50" s="350"/>
      <c r="N50" s="350"/>
      <c r="O50" s="350"/>
      <c r="P50" s="350"/>
      <c r="Q50" s="352"/>
      <c r="R50" s="350"/>
      <c r="S50" s="350"/>
      <c r="T50" s="350"/>
      <c r="U50" s="350"/>
    </row>
    <row r="51" spans="1:21">
      <c r="A51" s="925"/>
      <c r="B51" s="925"/>
      <c r="C51" s="350"/>
      <c r="D51" s="350"/>
      <c r="E51" s="350"/>
      <c r="F51" s="350"/>
      <c r="G51" s="350"/>
      <c r="H51" s="350"/>
      <c r="I51" s="350"/>
      <c r="J51" s="351"/>
      <c r="K51" s="351"/>
      <c r="L51" s="350"/>
      <c r="M51" s="350"/>
      <c r="N51" s="350"/>
      <c r="O51" s="350"/>
      <c r="P51" s="350"/>
      <c r="Q51" s="352"/>
      <c r="R51" s="350"/>
      <c r="S51" s="350"/>
      <c r="T51" s="350"/>
      <c r="U51" s="350"/>
    </row>
    <row r="52" spans="1:21">
      <c r="A52" s="925"/>
      <c r="B52" s="925"/>
      <c r="C52" s="350"/>
      <c r="D52" s="350"/>
      <c r="E52" s="350"/>
      <c r="F52" s="350"/>
      <c r="G52" s="350"/>
      <c r="H52" s="350"/>
      <c r="I52" s="350"/>
      <c r="J52" s="351"/>
      <c r="K52" s="351"/>
      <c r="L52" s="350"/>
      <c r="M52" s="350"/>
      <c r="N52" s="350"/>
      <c r="O52" s="350"/>
      <c r="P52" s="350"/>
      <c r="Q52" s="352"/>
      <c r="R52" s="350"/>
      <c r="S52" s="350"/>
      <c r="T52" s="350"/>
      <c r="U52" s="350"/>
    </row>
    <row r="53" spans="1:21">
      <c r="A53" s="925"/>
      <c r="B53" s="925"/>
      <c r="C53" s="350"/>
      <c r="D53" s="350"/>
      <c r="E53" s="350"/>
      <c r="F53" s="350"/>
      <c r="G53" s="350"/>
      <c r="H53" s="350"/>
      <c r="I53" s="350"/>
      <c r="J53" s="351"/>
      <c r="K53" s="351"/>
      <c r="L53" s="350"/>
      <c r="M53" s="350"/>
      <c r="N53" s="350"/>
      <c r="O53" s="350"/>
      <c r="P53" s="350"/>
      <c r="Q53" s="352"/>
      <c r="R53" s="350"/>
      <c r="S53" s="350"/>
      <c r="T53" s="350"/>
      <c r="U53" s="350"/>
    </row>
    <row r="54" spans="1:21">
      <c r="A54" s="925"/>
      <c r="B54" s="925"/>
      <c r="C54" s="350"/>
      <c r="D54" s="350"/>
      <c r="E54" s="350"/>
      <c r="F54" s="350"/>
      <c r="G54" s="350"/>
      <c r="H54" s="350"/>
      <c r="I54" s="350"/>
      <c r="J54" s="351"/>
      <c r="K54" s="351"/>
      <c r="L54" s="350"/>
      <c r="M54" s="350"/>
      <c r="N54" s="350"/>
      <c r="O54" s="350"/>
      <c r="P54" s="350"/>
      <c r="Q54" s="352"/>
      <c r="R54" s="350"/>
      <c r="S54" s="350"/>
      <c r="T54" s="350"/>
      <c r="U54" s="350"/>
    </row>
    <row r="55" spans="1:21">
      <c r="A55" s="925"/>
      <c r="B55" s="925"/>
      <c r="C55" s="350"/>
      <c r="D55" s="350"/>
      <c r="E55" s="350"/>
      <c r="F55" s="350"/>
      <c r="G55" s="350"/>
      <c r="H55" s="350"/>
      <c r="I55" s="350"/>
      <c r="J55" s="351"/>
      <c r="K55" s="351"/>
      <c r="L55" s="350"/>
      <c r="M55" s="350"/>
      <c r="N55" s="350"/>
      <c r="O55" s="350"/>
      <c r="P55" s="350"/>
      <c r="Q55" s="352"/>
      <c r="R55" s="350"/>
      <c r="S55" s="350"/>
      <c r="T55" s="350"/>
      <c r="U55" s="350"/>
    </row>
    <row r="56" spans="1:21">
      <c r="A56" s="925"/>
      <c r="B56" s="925"/>
      <c r="C56" s="350"/>
      <c r="D56" s="350"/>
      <c r="E56" s="350"/>
      <c r="F56" s="350"/>
      <c r="G56" s="350"/>
      <c r="H56" s="350"/>
      <c r="I56" s="350"/>
      <c r="J56" s="351"/>
      <c r="K56" s="351"/>
      <c r="L56" s="350"/>
      <c r="M56" s="350"/>
      <c r="N56" s="350"/>
      <c r="O56" s="350"/>
      <c r="P56" s="350"/>
      <c r="Q56" s="352"/>
      <c r="R56" s="350"/>
      <c r="S56" s="350"/>
      <c r="T56" s="350"/>
      <c r="U56" s="350"/>
    </row>
    <row r="57" spans="1:21">
      <c r="A57" s="925"/>
      <c r="B57" s="925"/>
      <c r="C57" s="350"/>
      <c r="D57" s="350"/>
      <c r="E57" s="350"/>
      <c r="F57" s="350"/>
      <c r="G57" s="350"/>
      <c r="H57" s="350"/>
      <c r="I57" s="350"/>
      <c r="J57" s="351"/>
      <c r="K57" s="351"/>
      <c r="L57" s="350"/>
      <c r="M57" s="350"/>
      <c r="N57" s="350"/>
      <c r="O57" s="350"/>
      <c r="P57" s="350"/>
      <c r="Q57" s="352"/>
      <c r="R57" s="350"/>
      <c r="S57" s="350"/>
      <c r="T57" s="350"/>
      <c r="U57" s="350"/>
    </row>
    <row r="58" spans="1:21">
      <c r="A58" s="925"/>
      <c r="B58" s="925"/>
      <c r="C58" s="350"/>
      <c r="D58" s="350"/>
      <c r="E58" s="350"/>
      <c r="F58" s="350"/>
      <c r="G58" s="350"/>
      <c r="H58" s="350"/>
      <c r="I58" s="350"/>
      <c r="J58" s="351"/>
      <c r="K58" s="351"/>
      <c r="L58" s="350"/>
      <c r="M58" s="350"/>
      <c r="N58" s="350"/>
      <c r="O58" s="350"/>
      <c r="P58" s="350"/>
      <c r="Q58" s="352"/>
      <c r="R58" s="350"/>
      <c r="S58" s="350"/>
      <c r="T58" s="350"/>
      <c r="U58" s="350"/>
    </row>
    <row r="59" spans="1:21">
      <c r="A59" s="925"/>
      <c r="B59" s="925"/>
      <c r="C59" s="350"/>
      <c r="D59" s="350"/>
      <c r="E59" s="350"/>
      <c r="F59" s="350"/>
      <c r="G59" s="350"/>
      <c r="H59" s="350"/>
      <c r="I59" s="350"/>
      <c r="J59" s="351"/>
      <c r="K59" s="351"/>
      <c r="L59" s="350"/>
      <c r="M59" s="350"/>
      <c r="N59" s="350"/>
      <c r="O59" s="350"/>
      <c r="P59" s="350"/>
      <c r="Q59" s="352"/>
      <c r="R59" s="350"/>
      <c r="S59" s="350"/>
      <c r="T59" s="350"/>
      <c r="U59" s="350"/>
    </row>
    <row r="60" spans="1:21">
      <c r="A60" s="925"/>
      <c r="B60" s="925"/>
      <c r="C60" s="350"/>
      <c r="D60" s="350"/>
      <c r="E60" s="350"/>
      <c r="F60" s="350"/>
      <c r="G60" s="350"/>
      <c r="H60" s="350"/>
      <c r="I60" s="350"/>
      <c r="J60" s="351"/>
      <c r="K60" s="351"/>
      <c r="L60" s="350"/>
      <c r="M60" s="350"/>
      <c r="N60" s="350"/>
      <c r="O60" s="350"/>
      <c r="P60" s="350"/>
      <c r="Q60" s="352"/>
      <c r="R60" s="350"/>
      <c r="S60" s="350"/>
      <c r="T60" s="350"/>
      <c r="U60" s="350"/>
    </row>
    <row r="61" spans="1:21">
      <c r="A61" s="925"/>
      <c r="B61" s="925"/>
      <c r="C61" s="350"/>
      <c r="D61" s="350"/>
      <c r="E61" s="350"/>
      <c r="F61" s="350"/>
      <c r="G61" s="350"/>
      <c r="H61" s="350"/>
      <c r="I61" s="350"/>
      <c r="J61" s="351"/>
      <c r="K61" s="351"/>
      <c r="L61" s="350"/>
      <c r="M61" s="350"/>
      <c r="N61" s="350"/>
      <c r="O61" s="350"/>
      <c r="P61" s="350"/>
      <c r="Q61" s="352"/>
      <c r="R61" s="350"/>
      <c r="S61" s="350"/>
      <c r="T61" s="350"/>
      <c r="U61" s="350"/>
    </row>
    <row r="62" spans="1:21">
      <c r="A62" s="925"/>
      <c r="B62" s="925"/>
      <c r="C62" s="350"/>
      <c r="D62" s="350"/>
      <c r="E62" s="350"/>
      <c r="F62" s="350"/>
      <c r="G62" s="350"/>
      <c r="H62" s="350"/>
      <c r="I62" s="350"/>
      <c r="J62" s="351"/>
      <c r="K62" s="351"/>
      <c r="L62" s="350"/>
      <c r="M62" s="350"/>
      <c r="N62" s="350"/>
      <c r="O62" s="350"/>
      <c r="P62" s="350"/>
      <c r="Q62" s="352"/>
      <c r="R62" s="350"/>
      <c r="S62" s="350"/>
      <c r="T62" s="350"/>
      <c r="U62" s="350"/>
    </row>
    <row r="63" spans="1:21">
      <c r="A63" s="925"/>
      <c r="B63" s="925"/>
      <c r="C63" s="350"/>
      <c r="D63" s="350"/>
      <c r="E63" s="350"/>
      <c r="F63" s="350"/>
      <c r="G63" s="350"/>
      <c r="H63" s="350"/>
      <c r="I63" s="350"/>
      <c r="J63" s="351"/>
      <c r="K63" s="351"/>
      <c r="L63" s="350"/>
      <c r="M63" s="350"/>
      <c r="N63" s="350"/>
      <c r="O63" s="350"/>
      <c r="P63" s="350"/>
      <c r="Q63" s="352"/>
      <c r="R63" s="350"/>
      <c r="S63" s="350"/>
      <c r="T63" s="350"/>
      <c r="U63" s="350"/>
    </row>
    <row r="64" spans="1:21">
      <c r="A64" s="925"/>
      <c r="B64" s="925"/>
      <c r="C64" s="350"/>
      <c r="D64" s="350"/>
      <c r="E64" s="350"/>
      <c r="F64" s="350"/>
      <c r="G64" s="350"/>
      <c r="H64" s="350"/>
      <c r="I64" s="350"/>
      <c r="J64" s="351"/>
      <c r="K64" s="351"/>
      <c r="L64" s="350"/>
      <c r="M64" s="350"/>
      <c r="N64" s="350"/>
      <c r="O64" s="350"/>
      <c r="P64" s="350"/>
      <c r="Q64" s="352"/>
      <c r="R64" s="350"/>
      <c r="S64" s="350"/>
      <c r="T64" s="350"/>
      <c r="U64" s="350"/>
    </row>
    <row r="65" spans="1:21">
      <c r="A65" s="925"/>
      <c r="B65" s="925"/>
      <c r="C65" s="350"/>
      <c r="D65" s="350"/>
      <c r="E65" s="350"/>
      <c r="F65" s="350"/>
      <c r="G65" s="350"/>
      <c r="H65" s="350"/>
      <c r="I65" s="350"/>
      <c r="J65" s="351"/>
      <c r="K65" s="351"/>
      <c r="L65" s="350"/>
      <c r="M65" s="350"/>
      <c r="N65" s="350"/>
      <c r="O65" s="350"/>
      <c r="P65" s="350"/>
      <c r="Q65" s="352"/>
      <c r="R65" s="350"/>
      <c r="S65" s="350"/>
      <c r="T65" s="350"/>
      <c r="U65" s="350"/>
    </row>
    <row r="66" spans="1:21">
      <c r="A66" s="925"/>
      <c r="B66" s="925"/>
      <c r="C66" s="350"/>
      <c r="D66" s="350"/>
      <c r="E66" s="350"/>
      <c r="F66" s="350"/>
      <c r="G66" s="350"/>
      <c r="H66" s="350"/>
      <c r="I66" s="350"/>
      <c r="J66" s="351"/>
      <c r="K66" s="351"/>
      <c r="L66" s="350"/>
      <c r="M66" s="350"/>
      <c r="N66" s="350"/>
      <c r="O66" s="350"/>
      <c r="P66" s="350"/>
      <c r="Q66" s="352"/>
      <c r="R66" s="350"/>
      <c r="S66" s="350"/>
      <c r="T66" s="350"/>
      <c r="U66" s="350"/>
    </row>
    <row r="67" spans="1:21">
      <c r="A67" s="925"/>
      <c r="B67" s="925"/>
      <c r="C67" s="350"/>
      <c r="D67" s="350"/>
      <c r="E67" s="350"/>
      <c r="F67" s="350"/>
      <c r="G67" s="350"/>
      <c r="H67" s="350"/>
      <c r="I67" s="350"/>
      <c r="J67" s="351"/>
      <c r="K67" s="351"/>
      <c r="L67" s="350"/>
      <c r="M67" s="350"/>
      <c r="N67" s="350"/>
      <c r="O67" s="350"/>
      <c r="P67" s="350"/>
      <c r="Q67" s="350"/>
      <c r="R67" s="350"/>
      <c r="S67" s="350"/>
      <c r="T67" s="350"/>
      <c r="U67" s="350"/>
    </row>
    <row r="68" spans="1:21">
      <c r="A68" s="925"/>
      <c r="B68" s="925"/>
      <c r="C68" s="350"/>
      <c r="D68" s="350"/>
      <c r="E68" s="350"/>
      <c r="F68" s="350"/>
      <c r="G68" s="350"/>
      <c r="H68" s="350"/>
      <c r="I68" s="350"/>
      <c r="J68" s="351"/>
      <c r="K68" s="351"/>
      <c r="L68" s="350"/>
      <c r="M68" s="350"/>
      <c r="N68" s="350"/>
      <c r="O68" s="350"/>
      <c r="P68" s="350"/>
      <c r="Q68" s="352"/>
      <c r="R68" s="350"/>
      <c r="S68" s="350"/>
      <c r="T68" s="350"/>
      <c r="U68" s="350"/>
    </row>
    <row r="69" spans="1:21">
      <c r="A69" s="925"/>
      <c r="B69" s="925"/>
      <c r="C69" s="350"/>
      <c r="D69" s="350"/>
      <c r="E69" s="350"/>
      <c r="F69" s="350"/>
      <c r="G69" s="350"/>
      <c r="H69" s="350"/>
      <c r="I69" s="350"/>
      <c r="J69" s="351"/>
      <c r="K69" s="351"/>
      <c r="L69" s="350"/>
      <c r="M69" s="350"/>
      <c r="N69" s="350"/>
      <c r="O69" s="350"/>
      <c r="P69" s="350"/>
      <c r="Q69" s="352"/>
      <c r="R69" s="350"/>
      <c r="S69" s="350"/>
      <c r="T69" s="350"/>
      <c r="U69" s="350"/>
    </row>
    <row r="70" spans="1:21">
      <c r="A70" s="925"/>
      <c r="B70" s="925"/>
      <c r="C70" s="350"/>
      <c r="D70" s="350"/>
      <c r="E70" s="350"/>
      <c r="F70" s="350"/>
      <c r="G70" s="350"/>
      <c r="H70" s="350"/>
      <c r="I70" s="350"/>
      <c r="J70" s="351"/>
      <c r="K70" s="351"/>
      <c r="L70" s="350"/>
      <c r="M70" s="350"/>
      <c r="N70" s="350"/>
      <c r="O70" s="350"/>
      <c r="P70" s="350"/>
      <c r="Q70" s="352"/>
      <c r="R70" s="350"/>
      <c r="S70" s="350"/>
      <c r="T70" s="350"/>
      <c r="U70" s="350"/>
    </row>
    <row r="71" spans="1:21">
      <c r="A71" s="925"/>
      <c r="B71" s="925"/>
      <c r="C71" s="350"/>
      <c r="D71" s="350"/>
      <c r="E71" s="350"/>
      <c r="F71" s="350"/>
      <c r="G71" s="350"/>
      <c r="H71" s="350"/>
      <c r="I71" s="350"/>
      <c r="J71" s="351"/>
      <c r="K71" s="351"/>
      <c r="L71" s="350"/>
      <c r="M71" s="350"/>
      <c r="N71" s="350"/>
      <c r="O71" s="350"/>
      <c r="P71" s="350"/>
      <c r="Q71" s="352"/>
      <c r="R71" s="350"/>
      <c r="S71" s="350"/>
      <c r="T71" s="350"/>
      <c r="U71" s="350"/>
    </row>
    <row r="72" spans="1:21">
      <c r="A72" s="925"/>
      <c r="B72" s="925"/>
      <c r="C72" s="350"/>
      <c r="D72" s="350"/>
      <c r="E72" s="350"/>
      <c r="F72" s="350"/>
      <c r="G72" s="350"/>
      <c r="H72" s="350"/>
      <c r="I72" s="350"/>
      <c r="J72" s="351"/>
      <c r="K72" s="351"/>
      <c r="L72" s="350"/>
      <c r="M72" s="350"/>
      <c r="N72" s="350"/>
      <c r="O72" s="350"/>
      <c r="P72" s="350"/>
      <c r="Q72" s="352"/>
      <c r="R72" s="350"/>
      <c r="S72" s="350"/>
      <c r="T72" s="350"/>
      <c r="U72" s="350"/>
    </row>
    <row r="73" spans="1:21">
      <c r="A73" s="925"/>
      <c r="B73" s="925"/>
      <c r="C73" s="350"/>
      <c r="D73" s="350"/>
      <c r="E73" s="350"/>
      <c r="F73" s="350"/>
      <c r="G73" s="350"/>
      <c r="H73" s="350"/>
      <c r="I73" s="350"/>
      <c r="J73" s="351"/>
      <c r="K73" s="351"/>
      <c r="L73" s="350"/>
      <c r="M73" s="350"/>
      <c r="N73" s="350"/>
      <c r="O73" s="350"/>
      <c r="P73" s="350"/>
      <c r="Q73" s="352"/>
      <c r="R73" s="350"/>
      <c r="S73" s="350"/>
      <c r="T73" s="350"/>
      <c r="U73" s="350"/>
    </row>
    <row r="74" spans="1:21">
      <c r="A74" s="925"/>
      <c r="B74" s="925"/>
      <c r="C74" s="350"/>
      <c r="D74" s="350"/>
      <c r="E74" s="350"/>
      <c r="F74" s="350"/>
      <c r="G74" s="350"/>
      <c r="H74" s="350"/>
      <c r="I74" s="350"/>
      <c r="J74" s="351"/>
      <c r="K74" s="351"/>
      <c r="L74" s="350"/>
      <c r="M74" s="350"/>
      <c r="N74" s="350"/>
      <c r="O74" s="350"/>
      <c r="P74" s="350"/>
      <c r="Q74" s="352"/>
      <c r="R74" s="350"/>
      <c r="S74" s="350"/>
      <c r="T74" s="350"/>
      <c r="U74" s="350"/>
    </row>
    <row r="75" spans="1:21">
      <c r="A75" s="925"/>
      <c r="B75" s="925"/>
      <c r="C75" s="350"/>
      <c r="D75" s="350"/>
      <c r="E75" s="350"/>
      <c r="F75" s="350"/>
      <c r="G75" s="350"/>
      <c r="H75" s="350"/>
      <c r="I75" s="350"/>
      <c r="J75" s="351"/>
      <c r="K75" s="351"/>
      <c r="L75" s="350"/>
      <c r="M75" s="350"/>
      <c r="N75" s="350"/>
      <c r="O75" s="350"/>
      <c r="P75" s="350"/>
      <c r="Q75" s="352"/>
      <c r="R75" s="350"/>
      <c r="S75" s="350"/>
      <c r="T75" s="350"/>
      <c r="U75" s="350"/>
    </row>
    <row r="76" spans="1:21">
      <c r="A76" s="925"/>
      <c r="B76" s="925"/>
      <c r="C76" s="350"/>
      <c r="D76" s="350"/>
      <c r="E76" s="350"/>
      <c r="F76" s="350"/>
      <c r="G76" s="350"/>
      <c r="H76" s="350"/>
      <c r="I76" s="350"/>
      <c r="J76" s="351"/>
      <c r="K76" s="351"/>
      <c r="L76" s="350"/>
      <c r="M76" s="350"/>
      <c r="N76" s="350"/>
      <c r="O76" s="350"/>
      <c r="P76" s="350"/>
      <c r="Q76" s="352"/>
      <c r="R76" s="350"/>
      <c r="S76" s="350"/>
      <c r="T76" s="350"/>
      <c r="U76" s="350"/>
    </row>
    <row r="77" spans="1:21">
      <c r="A77" s="925"/>
      <c r="B77" s="925"/>
      <c r="C77" s="350"/>
      <c r="D77" s="350"/>
      <c r="E77" s="350"/>
      <c r="F77" s="350"/>
      <c r="G77" s="350"/>
      <c r="H77" s="350"/>
      <c r="I77" s="350"/>
      <c r="J77" s="351"/>
      <c r="K77" s="351"/>
      <c r="L77" s="350"/>
      <c r="M77" s="350"/>
      <c r="N77" s="350"/>
      <c r="O77" s="350"/>
      <c r="P77" s="350"/>
      <c r="Q77" s="352"/>
      <c r="R77" s="350"/>
      <c r="S77" s="350"/>
      <c r="T77" s="350"/>
      <c r="U77" s="350"/>
    </row>
    <row r="78" spans="1:21">
      <c r="A78" s="925"/>
      <c r="B78" s="925"/>
      <c r="C78" s="350"/>
      <c r="D78" s="350"/>
      <c r="E78" s="350"/>
      <c r="F78" s="350"/>
      <c r="G78" s="350"/>
      <c r="H78" s="350"/>
      <c r="I78" s="350"/>
      <c r="J78" s="351"/>
      <c r="K78" s="351"/>
      <c r="L78" s="350"/>
      <c r="M78" s="350"/>
      <c r="N78" s="350"/>
      <c r="O78" s="350"/>
      <c r="P78" s="350"/>
      <c r="Q78" s="352"/>
      <c r="R78" s="350"/>
      <c r="S78" s="350"/>
      <c r="T78" s="350"/>
      <c r="U78" s="350"/>
    </row>
    <row r="79" spans="1:21">
      <c r="A79" s="925"/>
      <c r="B79" s="925"/>
      <c r="C79" s="350"/>
      <c r="D79" s="350"/>
      <c r="E79" s="350"/>
      <c r="F79" s="350"/>
      <c r="G79" s="350"/>
      <c r="H79" s="350"/>
      <c r="I79" s="350"/>
      <c r="J79" s="351"/>
      <c r="K79" s="351"/>
      <c r="L79" s="350"/>
      <c r="M79" s="350"/>
      <c r="N79" s="350"/>
      <c r="O79" s="350"/>
      <c r="P79" s="350"/>
      <c r="Q79" s="352"/>
      <c r="R79" s="350"/>
      <c r="S79" s="350"/>
      <c r="T79" s="350"/>
      <c r="U79" s="350"/>
    </row>
    <row r="80" spans="1:21">
      <c r="A80" s="925"/>
      <c r="B80" s="925"/>
      <c r="C80" s="350"/>
      <c r="D80" s="350"/>
      <c r="E80" s="350"/>
      <c r="F80" s="350"/>
      <c r="G80" s="350"/>
      <c r="H80" s="350"/>
      <c r="I80" s="350"/>
      <c r="J80" s="351"/>
      <c r="K80" s="351"/>
      <c r="L80" s="350"/>
      <c r="M80" s="350"/>
      <c r="N80" s="350"/>
      <c r="O80" s="350"/>
      <c r="P80" s="350"/>
      <c r="Q80" s="352"/>
      <c r="R80" s="350"/>
      <c r="S80" s="350"/>
      <c r="T80" s="350"/>
      <c r="U80" s="350"/>
    </row>
    <row r="81" spans="1:21">
      <c r="A81" s="925"/>
      <c r="B81" s="925"/>
      <c r="C81" s="350"/>
      <c r="D81" s="350"/>
      <c r="E81" s="350"/>
      <c r="F81" s="350"/>
      <c r="G81" s="350"/>
      <c r="H81" s="350"/>
      <c r="I81" s="350"/>
      <c r="J81" s="351"/>
      <c r="K81" s="351"/>
      <c r="L81" s="350"/>
      <c r="M81" s="350"/>
      <c r="N81" s="350"/>
      <c r="O81" s="350"/>
      <c r="P81" s="350"/>
      <c r="Q81" s="352"/>
      <c r="R81" s="350"/>
      <c r="S81" s="350"/>
      <c r="T81" s="350"/>
      <c r="U81" s="350"/>
    </row>
    <row r="82" spans="1:21">
      <c r="A82" s="925"/>
      <c r="B82" s="925"/>
      <c r="C82" s="350"/>
      <c r="D82" s="350"/>
      <c r="E82" s="350"/>
      <c r="F82" s="350"/>
      <c r="G82" s="350"/>
      <c r="H82" s="350"/>
      <c r="I82" s="350"/>
      <c r="J82" s="351"/>
      <c r="K82" s="351"/>
      <c r="L82" s="350"/>
      <c r="M82" s="350"/>
      <c r="N82" s="350"/>
      <c r="O82" s="350"/>
      <c r="P82" s="350"/>
      <c r="Q82" s="352"/>
      <c r="R82" s="350"/>
      <c r="S82" s="350"/>
      <c r="T82" s="350"/>
      <c r="U82" s="350"/>
    </row>
    <row r="83" spans="1:21">
      <c r="A83" s="925"/>
      <c r="B83" s="925"/>
      <c r="C83" s="350"/>
      <c r="D83" s="350"/>
      <c r="E83" s="350"/>
      <c r="F83" s="350"/>
      <c r="G83" s="350"/>
      <c r="H83" s="350"/>
      <c r="I83" s="350"/>
      <c r="J83" s="351"/>
      <c r="K83" s="351"/>
      <c r="L83" s="350"/>
      <c r="M83" s="350"/>
      <c r="N83" s="350"/>
      <c r="O83" s="350"/>
      <c r="P83" s="350"/>
      <c r="Q83" s="352"/>
      <c r="R83" s="350"/>
      <c r="S83" s="350"/>
      <c r="T83" s="350"/>
      <c r="U83" s="350"/>
    </row>
    <row r="84" spans="1:21">
      <c r="A84" s="925"/>
      <c r="B84" s="925"/>
      <c r="C84" s="350"/>
      <c r="D84" s="350"/>
      <c r="E84" s="350"/>
      <c r="F84" s="350"/>
      <c r="G84" s="350"/>
      <c r="H84" s="350"/>
      <c r="I84" s="350"/>
      <c r="J84" s="351"/>
      <c r="K84" s="351"/>
      <c r="L84" s="350"/>
      <c r="M84" s="350"/>
      <c r="N84" s="350"/>
      <c r="O84" s="350"/>
      <c r="P84" s="350"/>
      <c r="Q84" s="352"/>
      <c r="R84" s="350"/>
      <c r="S84" s="350"/>
      <c r="T84" s="350"/>
      <c r="U84" s="350"/>
    </row>
    <row r="85" spans="1:21">
      <c r="A85" s="925"/>
      <c r="B85" s="925"/>
      <c r="C85" s="350"/>
      <c r="D85" s="350"/>
      <c r="E85" s="350"/>
      <c r="F85" s="350"/>
      <c r="G85" s="350"/>
      <c r="H85" s="350"/>
      <c r="I85" s="350"/>
      <c r="J85" s="351"/>
      <c r="K85" s="351"/>
      <c r="L85" s="350"/>
      <c r="M85" s="350"/>
      <c r="N85" s="350"/>
      <c r="O85" s="350"/>
      <c r="P85" s="350"/>
      <c r="Q85" s="352"/>
      <c r="R85" s="350"/>
      <c r="S85" s="350"/>
      <c r="T85" s="350"/>
      <c r="U85" s="350"/>
    </row>
    <row r="86" spans="1:21">
      <c r="A86" s="925"/>
      <c r="B86" s="925"/>
      <c r="C86" s="350"/>
      <c r="D86" s="350"/>
      <c r="E86" s="350"/>
      <c r="F86" s="350"/>
      <c r="G86" s="350"/>
      <c r="H86" s="350"/>
      <c r="I86" s="350"/>
      <c r="J86" s="351"/>
      <c r="K86" s="351"/>
      <c r="L86" s="350"/>
      <c r="M86" s="350"/>
      <c r="N86" s="350"/>
      <c r="O86" s="350"/>
      <c r="P86" s="350"/>
      <c r="Q86" s="352"/>
      <c r="R86" s="350"/>
      <c r="S86" s="350"/>
      <c r="T86" s="350"/>
      <c r="U86" s="350"/>
    </row>
    <row r="87" spans="1:21">
      <c r="A87" s="925"/>
      <c r="B87" s="925"/>
      <c r="C87" s="350"/>
      <c r="D87" s="350"/>
      <c r="E87" s="350"/>
      <c r="F87" s="350"/>
      <c r="G87" s="350"/>
      <c r="H87" s="350"/>
      <c r="I87" s="350"/>
      <c r="J87" s="351"/>
      <c r="K87" s="351"/>
      <c r="L87" s="350"/>
      <c r="M87" s="350"/>
      <c r="N87" s="350"/>
      <c r="O87" s="350"/>
      <c r="P87" s="350"/>
      <c r="Q87" s="352"/>
      <c r="R87" s="350"/>
      <c r="S87" s="350"/>
      <c r="T87" s="350"/>
      <c r="U87" s="350"/>
    </row>
    <row r="88" spans="1:21">
      <c r="A88" s="925"/>
      <c r="B88" s="925"/>
      <c r="C88" s="350"/>
      <c r="D88" s="350"/>
      <c r="E88" s="350"/>
      <c r="F88" s="350"/>
      <c r="G88" s="350"/>
      <c r="H88" s="350"/>
      <c r="I88" s="350"/>
      <c r="J88" s="351"/>
      <c r="K88" s="351"/>
      <c r="L88" s="350"/>
      <c r="M88" s="350"/>
      <c r="N88" s="350"/>
      <c r="O88" s="350"/>
      <c r="P88" s="350"/>
      <c r="Q88" s="352"/>
      <c r="R88" s="350"/>
      <c r="S88" s="350"/>
      <c r="T88" s="350"/>
      <c r="U88" s="350"/>
    </row>
    <row r="89" spans="1:21">
      <c r="A89" s="925"/>
      <c r="B89" s="925"/>
      <c r="C89" s="350"/>
      <c r="D89" s="350"/>
      <c r="E89" s="350"/>
      <c r="F89" s="350"/>
      <c r="G89" s="350"/>
      <c r="H89" s="350"/>
      <c r="I89" s="350"/>
      <c r="J89" s="351"/>
      <c r="K89" s="351"/>
      <c r="L89" s="350"/>
      <c r="M89" s="350"/>
      <c r="N89" s="350"/>
      <c r="O89" s="350"/>
      <c r="P89" s="350"/>
      <c r="Q89" s="352"/>
      <c r="R89" s="350"/>
      <c r="S89" s="350"/>
      <c r="T89" s="350"/>
      <c r="U89" s="350"/>
    </row>
    <row r="90" spans="1:21">
      <c r="A90" s="925"/>
      <c r="B90" s="925"/>
      <c r="C90" s="350"/>
      <c r="D90" s="350"/>
      <c r="E90" s="350"/>
      <c r="F90" s="350"/>
      <c r="G90" s="350"/>
      <c r="H90" s="350"/>
      <c r="I90" s="350"/>
      <c r="J90" s="351"/>
      <c r="K90" s="351"/>
      <c r="L90" s="350"/>
      <c r="M90" s="350"/>
      <c r="N90" s="350"/>
      <c r="O90" s="350"/>
      <c r="P90" s="350"/>
      <c r="Q90" s="352"/>
      <c r="R90" s="350"/>
      <c r="S90" s="350"/>
      <c r="T90" s="350"/>
      <c r="U90" s="350"/>
    </row>
    <row r="91" spans="1:21">
      <c r="A91" s="925"/>
      <c r="B91" s="925"/>
      <c r="C91" s="350"/>
      <c r="D91" s="350"/>
      <c r="E91" s="350"/>
      <c r="F91" s="350"/>
      <c r="G91" s="350"/>
      <c r="H91" s="350"/>
      <c r="I91" s="350"/>
      <c r="J91" s="351"/>
      <c r="K91" s="351"/>
      <c r="L91" s="350"/>
      <c r="M91" s="350"/>
      <c r="N91" s="350"/>
      <c r="O91" s="350"/>
      <c r="P91" s="350"/>
      <c r="Q91" s="352"/>
      <c r="R91" s="350"/>
      <c r="S91" s="350"/>
      <c r="T91" s="350"/>
      <c r="U91" s="350"/>
    </row>
    <row r="92" spans="1:21">
      <c r="A92" s="925"/>
      <c r="B92" s="925"/>
      <c r="C92" s="350"/>
      <c r="D92" s="350"/>
      <c r="E92" s="350"/>
      <c r="F92" s="350"/>
      <c r="G92" s="350"/>
      <c r="H92" s="350"/>
      <c r="I92" s="350"/>
      <c r="J92" s="351"/>
      <c r="K92" s="351"/>
      <c r="L92" s="350"/>
      <c r="M92" s="350"/>
      <c r="N92" s="350"/>
      <c r="O92" s="350"/>
      <c r="P92" s="350"/>
      <c r="Q92" s="352"/>
      <c r="R92" s="350"/>
      <c r="S92" s="350"/>
      <c r="T92" s="350"/>
      <c r="U92" s="350"/>
    </row>
    <row r="93" spans="1:21">
      <c r="A93" s="925"/>
      <c r="B93" s="925"/>
      <c r="C93" s="350"/>
      <c r="D93" s="350"/>
      <c r="E93" s="350"/>
      <c r="F93" s="350"/>
      <c r="G93" s="350"/>
      <c r="H93" s="350"/>
      <c r="I93" s="350"/>
      <c r="J93" s="351"/>
      <c r="K93" s="351"/>
      <c r="L93" s="350"/>
      <c r="M93" s="350"/>
      <c r="N93" s="350"/>
      <c r="O93" s="350"/>
      <c r="P93" s="350"/>
      <c r="Q93" s="352"/>
      <c r="R93" s="350"/>
      <c r="S93" s="350"/>
      <c r="T93" s="350"/>
      <c r="U93" s="350"/>
    </row>
    <row r="94" spans="1:21">
      <c r="A94" s="925"/>
      <c r="B94" s="925"/>
      <c r="C94" s="350"/>
      <c r="D94" s="350"/>
      <c r="E94" s="350"/>
      <c r="F94" s="350"/>
      <c r="G94" s="350"/>
      <c r="H94" s="350"/>
      <c r="I94" s="350"/>
      <c r="J94" s="351"/>
      <c r="K94" s="351"/>
      <c r="L94" s="350"/>
      <c r="M94" s="350"/>
      <c r="N94" s="350"/>
      <c r="O94" s="350"/>
      <c r="P94" s="350"/>
      <c r="Q94" s="352"/>
      <c r="R94" s="350"/>
      <c r="S94" s="350"/>
      <c r="T94" s="350"/>
      <c r="U94" s="350"/>
    </row>
    <row r="95" spans="1:21">
      <c r="A95" s="925"/>
      <c r="B95" s="925"/>
      <c r="C95" s="350"/>
      <c r="D95" s="350"/>
      <c r="E95" s="350"/>
      <c r="F95" s="350"/>
      <c r="G95" s="350"/>
      <c r="H95" s="350"/>
      <c r="I95" s="350"/>
      <c r="J95" s="351"/>
      <c r="K95" s="351"/>
      <c r="L95" s="350"/>
      <c r="M95" s="350"/>
      <c r="N95" s="350"/>
      <c r="O95" s="350"/>
      <c r="P95" s="350"/>
      <c r="Q95" s="352"/>
      <c r="R95" s="350"/>
      <c r="S95" s="350"/>
      <c r="T95" s="350"/>
      <c r="U95" s="350"/>
    </row>
    <row r="96" spans="1:21">
      <c r="A96" s="925"/>
      <c r="B96" s="925"/>
      <c r="C96" s="350"/>
      <c r="D96" s="350"/>
      <c r="E96" s="350"/>
      <c r="F96" s="350"/>
      <c r="G96" s="350"/>
      <c r="H96" s="350"/>
      <c r="I96" s="350"/>
      <c r="J96" s="351"/>
      <c r="K96" s="351"/>
      <c r="L96" s="350"/>
      <c r="M96" s="350"/>
      <c r="N96" s="350"/>
      <c r="O96" s="350"/>
      <c r="P96" s="350"/>
      <c r="Q96" s="352"/>
      <c r="R96" s="350"/>
      <c r="S96" s="350"/>
      <c r="T96" s="350"/>
      <c r="U96" s="350"/>
    </row>
    <row r="97" spans="1:21">
      <c r="A97" s="925"/>
      <c r="B97" s="925"/>
      <c r="C97" s="350"/>
      <c r="D97" s="350"/>
      <c r="E97" s="350"/>
      <c r="F97" s="350"/>
      <c r="G97" s="350"/>
      <c r="H97" s="350"/>
      <c r="I97" s="350"/>
      <c r="J97" s="351"/>
      <c r="K97" s="351"/>
      <c r="L97" s="350"/>
      <c r="M97" s="350"/>
      <c r="N97" s="350"/>
      <c r="O97" s="350"/>
      <c r="P97" s="350"/>
      <c r="Q97" s="352"/>
      <c r="R97" s="350"/>
      <c r="S97" s="350"/>
      <c r="T97" s="350"/>
      <c r="U97" s="350"/>
    </row>
    <row r="98" spans="1:21">
      <c r="A98" s="925"/>
      <c r="B98" s="925"/>
      <c r="C98" s="350"/>
      <c r="D98" s="350"/>
      <c r="E98" s="350"/>
      <c r="F98" s="350"/>
      <c r="G98" s="350"/>
      <c r="H98" s="350"/>
      <c r="I98" s="350"/>
      <c r="J98" s="351"/>
      <c r="K98" s="351"/>
      <c r="L98" s="350"/>
      <c r="M98" s="350"/>
      <c r="N98" s="350"/>
      <c r="O98" s="350"/>
      <c r="P98" s="350"/>
      <c r="Q98" s="352"/>
      <c r="R98" s="350"/>
      <c r="S98" s="350"/>
      <c r="T98" s="350"/>
      <c r="U98" s="350"/>
    </row>
    <row r="99" spans="1:21">
      <c r="A99" s="925"/>
      <c r="B99" s="925"/>
      <c r="C99" s="350"/>
      <c r="D99" s="350"/>
      <c r="E99" s="350"/>
      <c r="F99" s="350"/>
      <c r="G99" s="350"/>
      <c r="H99" s="350"/>
      <c r="I99" s="350"/>
      <c r="J99" s="351"/>
      <c r="K99" s="351"/>
      <c r="L99" s="350"/>
      <c r="M99" s="350"/>
      <c r="N99" s="350"/>
      <c r="O99" s="350"/>
      <c r="P99" s="350"/>
      <c r="Q99" s="352"/>
      <c r="R99" s="350"/>
      <c r="S99" s="350"/>
      <c r="T99" s="350"/>
      <c r="U99" s="350"/>
    </row>
    <row r="100" spans="1:21">
      <c r="A100" s="925"/>
      <c r="B100" s="925"/>
      <c r="C100" s="350"/>
      <c r="D100" s="350"/>
      <c r="E100" s="350"/>
      <c r="F100" s="350"/>
      <c r="G100" s="350"/>
      <c r="H100" s="350"/>
      <c r="I100" s="350"/>
      <c r="J100" s="351"/>
      <c r="K100" s="351"/>
      <c r="L100" s="350"/>
      <c r="M100" s="350"/>
      <c r="N100" s="350"/>
      <c r="O100" s="350"/>
      <c r="P100" s="350"/>
      <c r="Q100" s="352"/>
      <c r="R100" s="350"/>
      <c r="S100" s="350"/>
      <c r="T100" s="350"/>
      <c r="U100" s="350"/>
    </row>
    <row r="101" spans="1:21">
      <c r="A101" s="925"/>
      <c r="B101" s="925"/>
      <c r="C101" s="350"/>
      <c r="D101" s="350"/>
      <c r="E101" s="350"/>
      <c r="F101" s="350"/>
      <c r="G101" s="350"/>
      <c r="H101" s="350"/>
      <c r="I101" s="350"/>
      <c r="J101" s="351"/>
      <c r="K101" s="351"/>
      <c r="L101" s="350"/>
      <c r="M101" s="350"/>
      <c r="N101" s="350"/>
      <c r="O101" s="350"/>
      <c r="P101" s="350"/>
      <c r="Q101" s="352"/>
      <c r="R101" s="350"/>
      <c r="S101" s="350"/>
      <c r="T101" s="350"/>
      <c r="U101" s="350"/>
    </row>
    <row r="102" spans="1:21">
      <c r="A102" s="925"/>
      <c r="B102" s="925"/>
      <c r="C102" s="350"/>
      <c r="D102" s="350"/>
      <c r="E102" s="350"/>
      <c r="F102" s="350"/>
      <c r="G102" s="350"/>
      <c r="H102" s="350"/>
      <c r="I102" s="350"/>
      <c r="J102" s="351"/>
      <c r="K102" s="351"/>
      <c r="L102" s="350"/>
      <c r="M102" s="350"/>
      <c r="N102" s="350"/>
      <c r="O102" s="350"/>
      <c r="P102" s="350"/>
      <c r="Q102" s="352"/>
      <c r="R102" s="350"/>
      <c r="S102" s="350"/>
      <c r="T102" s="350"/>
      <c r="U102" s="350"/>
    </row>
    <row r="103" spans="1:21">
      <c r="A103" s="925"/>
      <c r="B103" s="925"/>
      <c r="C103" s="350"/>
      <c r="D103" s="350"/>
      <c r="E103" s="350"/>
      <c r="F103" s="350"/>
      <c r="G103" s="350"/>
      <c r="H103" s="350"/>
      <c r="I103" s="350"/>
      <c r="J103" s="351"/>
      <c r="K103" s="351"/>
      <c r="L103" s="350"/>
      <c r="M103" s="350"/>
      <c r="N103" s="350"/>
      <c r="O103" s="350"/>
      <c r="P103" s="350"/>
      <c r="Q103" s="352"/>
      <c r="R103" s="350"/>
      <c r="S103" s="350"/>
      <c r="T103" s="350"/>
      <c r="U103" s="350"/>
    </row>
    <row r="104" spans="1:21">
      <c r="A104" s="925"/>
      <c r="B104" s="925"/>
      <c r="C104" s="350"/>
      <c r="D104" s="350"/>
      <c r="E104" s="350"/>
      <c r="F104" s="350"/>
      <c r="G104" s="350"/>
      <c r="H104" s="350"/>
      <c r="I104" s="350"/>
      <c r="J104" s="351"/>
      <c r="K104" s="351"/>
      <c r="L104" s="350"/>
      <c r="M104" s="350"/>
      <c r="N104" s="350"/>
      <c r="O104" s="350"/>
      <c r="P104" s="350"/>
      <c r="Q104" s="352"/>
      <c r="R104" s="350"/>
      <c r="S104" s="350"/>
      <c r="T104" s="350"/>
      <c r="U104" s="350"/>
    </row>
    <row r="105" spans="1:21">
      <c r="A105" s="925"/>
      <c r="B105" s="925"/>
      <c r="C105" s="350"/>
      <c r="D105" s="350"/>
      <c r="E105" s="350"/>
      <c r="F105" s="350"/>
      <c r="G105" s="350"/>
      <c r="H105" s="350"/>
      <c r="I105" s="350"/>
      <c r="J105" s="351"/>
      <c r="K105" s="351"/>
      <c r="L105" s="350"/>
      <c r="M105" s="350"/>
      <c r="N105" s="350"/>
      <c r="O105" s="350"/>
      <c r="P105" s="350"/>
      <c r="Q105" s="352"/>
      <c r="R105" s="350"/>
      <c r="S105" s="350"/>
      <c r="T105" s="350"/>
      <c r="U105" s="350"/>
    </row>
    <row r="106" spans="1:21">
      <c r="A106" s="925"/>
      <c r="B106" s="925"/>
      <c r="C106" s="350"/>
      <c r="D106" s="350"/>
      <c r="E106" s="350"/>
      <c r="F106" s="350"/>
      <c r="G106" s="350"/>
      <c r="H106" s="350"/>
      <c r="I106" s="350"/>
      <c r="J106" s="351"/>
      <c r="K106" s="351"/>
      <c r="L106" s="350"/>
      <c r="M106" s="350"/>
      <c r="N106" s="350"/>
      <c r="O106" s="350"/>
      <c r="P106" s="350"/>
      <c r="Q106" s="352"/>
      <c r="R106" s="350"/>
      <c r="S106" s="350"/>
      <c r="T106" s="350"/>
      <c r="U106" s="350"/>
    </row>
    <row r="107" spans="1:21">
      <c r="A107" s="925"/>
      <c r="B107" s="925"/>
      <c r="C107" s="350"/>
      <c r="D107" s="350"/>
      <c r="E107" s="350"/>
      <c r="F107" s="350"/>
      <c r="G107" s="350"/>
      <c r="H107" s="350"/>
      <c r="I107" s="350"/>
      <c r="J107" s="351"/>
      <c r="K107" s="351"/>
      <c r="L107" s="350"/>
      <c r="M107" s="350"/>
      <c r="N107" s="350"/>
      <c r="O107" s="350"/>
      <c r="P107" s="350"/>
      <c r="Q107" s="352"/>
      <c r="R107" s="350"/>
      <c r="S107" s="350"/>
      <c r="T107" s="350"/>
      <c r="U107" s="350"/>
    </row>
    <row r="108" spans="1:21">
      <c r="A108" s="925"/>
      <c r="B108" s="925"/>
      <c r="C108" s="350"/>
      <c r="D108" s="350"/>
      <c r="E108" s="350"/>
      <c r="F108" s="350"/>
      <c r="G108" s="350"/>
      <c r="H108" s="350"/>
      <c r="I108" s="350"/>
      <c r="J108" s="351"/>
      <c r="K108" s="351"/>
      <c r="L108" s="350"/>
      <c r="M108" s="350"/>
      <c r="N108" s="350"/>
      <c r="O108" s="350"/>
      <c r="P108" s="350"/>
      <c r="Q108" s="352"/>
      <c r="R108" s="350"/>
      <c r="S108" s="350"/>
      <c r="T108" s="350"/>
      <c r="U108" s="350"/>
    </row>
    <row r="109" spans="1:21">
      <c r="A109" s="925"/>
      <c r="B109" s="925"/>
      <c r="C109" s="350"/>
      <c r="D109" s="350"/>
      <c r="E109" s="350"/>
      <c r="F109" s="350"/>
      <c r="G109" s="350"/>
      <c r="H109" s="350"/>
      <c r="I109" s="350"/>
      <c r="J109" s="351"/>
      <c r="K109" s="351"/>
      <c r="L109" s="350"/>
      <c r="M109" s="350"/>
      <c r="N109" s="350"/>
      <c r="O109" s="350"/>
      <c r="P109" s="350"/>
      <c r="Q109" s="352"/>
      <c r="R109" s="350"/>
      <c r="S109" s="350"/>
      <c r="T109" s="350"/>
      <c r="U109" s="350"/>
    </row>
    <row r="110" spans="1:21">
      <c r="A110" s="925"/>
      <c r="B110" s="925"/>
      <c r="C110" s="350"/>
      <c r="D110" s="350"/>
      <c r="E110" s="350"/>
      <c r="F110" s="350"/>
      <c r="G110" s="350"/>
      <c r="H110" s="350"/>
      <c r="I110" s="350"/>
      <c r="J110" s="351"/>
      <c r="K110" s="351"/>
      <c r="L110" s="350"/>
      <c r="M110" s="350"/>
      <c r="N110" s="350"/>
      <c r="O110" s="350"/>
      <c r="P110" s="350"/>
      <c r="Q110" s="352"/>
      <c r="R110" s="350"/>
      <c r="S110" s="350"/>
      <c r="T110" s="350"/>
      <c r="U110" s="350"/>
    </row>
    <row r="111" spans="1:21">
      <c r="A111" s="925"/>
      <c r="B111" s="925"/>
      <c r="C111" s="350"/>
      <c r="D111" s="350"/>
      <c r="E111" s="350"/>
      <c r="F111" s="350"/>
      <c r="G111" s="350"/>
      <c r="H111" s="350"/>
      <c r="I111" s="350"/>
      <c r="J111" s="351"/>
      <c r="K111" s="351"/>
      <c r="L111" s="350"/>
      <c r="M111" s="350"/>
      <c r="N111" s="350"/>
      <c r="O111" s="350"/>
      <c r="P111" s="350"/>
      <c r="Q111" s="352"/>
      <c r="R111" s="350"/>
      <c r="S111" s="350"/>
      <c r="T111" s="350"/>
      <c r="U111" s="350"/>
    </row>
    <row r="112" spans="1:21">
      <c r="A112" s="925"/>
      <c r="B112" s="925"/>
      <c r="C112" s="350"/>
      <c r="D112" s="350"/>
      <c r="E112" s="350"/>
      <c r="F112" s="350"/>
      <c r="G112" s="350"/>
      <c r="H112" s="350"/>
      <c r="I112" s="350"/>
      <c r="J112" s="351"/>
      <c r="K112" s="351"/>
      <c r="L112" s="350"/>
      <c r="M112" s="350"/>
      <c r="N112" s="350"/>
      <c r="O112" s="350"/>
      <c r="P112" s="350"/>
      <c r="Q112" s="352"/>
      <c r="R112" s="350"/>
      <c r="S112" s="350"/>
      <c r="T112" s="350"/>
      <c r="U112" s="350"/>
    </row>
    <row r="113" spans="1:21">
      <c r="A113" s="925"/>
      <c r="B113" s="925"/>
      <c r="C113" s="350"/>
      <c r="D113" s="350"/>
      <c r="E113" s="350"/>
      <c r="F113" s="350"/>
      <c r="G113" s="350"/>
      <c r="H113" s="350"/>
      <c r="I113" s="350"/>
      <c r="J113" s="351"/>
      <c r="K113" s="351"/>
      <c r="L113" s="350"/>
      <c r="M113" s="350"/>
      <c r="N113" s="350"/>
      <c r="O113" s="350"/>
      <c r="P113" s="350"/>
      <c r="Q113" s="352"/>
      <c r="R113" s="350"/>
      <c r="S113" s="350"/>
      <c r="T113" s="350"/>
      <c r="U113" s="350"/>
    </row>
    <row r="114" spans="1:21">
      <c r="A114" s="925"/>
      <c r="B114" s="925"/>
      <c r="C114" s="350"/>
      <c r="D114" s="350"/>
      <c r="E114" s="350"/>
      <c r="F114" s="350"/>
      <c r="G114" s="350"/>
      <c r="H114" s="350"/>
      <c r="I114" s="350"/>
      <c r="J114" s="351"/>
      <c r="K114" s="351"/>
      <c r="L114" s="350"/>
      <c r="M114" s="350"/>
      <c r="N114" s="350"/>
      <c r="O114" s="350"/>
      <c r="P114" s="350"/>
      <c r="Q114" s="352"/>
      <c r="R114" s="350"/>
      <c r="S114" s="350"/>
      <c r="T114" s="350"/>
      <c r="U114" s="350"/>
    </row>
    <row r="115" spans="1:21">
      <c r="A115" s="925"/>
      <c r="B115" s="925"/>
      <c r="C115" s="350"/>
      <c r="D115" s="350"/>
      <c r="E115" s="350"/>
      <c r="F115" s="350"/>
      <c r="G115" s="350"/>
      <c r="H115" s="350"/>
      <c r="I115" s="350"/>
      <c r="J115" s="351"/>
      <c r="K115" s="351"/>
      <c r="L115" s="350"/>
      <c r="M115" s="350"/>
      <c r="N115" s="350"/>
      <c r="O115" s="350"/>
      <c r="P115" s="350"/>
      <c r="Q115" s="352"/>
      <c r="R115" s="350"/>
      <c r="S115" s="350"/>
      <c r="T115" s="350"/>
      <c r="U115" s="350"/>
    </row>
    <row r="116" spans="1:21">
      <c r="A116" s="925"/>
      <c r="B116" s="925"/>
      <c r="C116" s="350"/>
      <c r="D116" s="350"/>
      <c r="E116" s="350"/>
      <c r="F116" s="350"/>
      <c r="G116" s="350"/>
      <c r="H116" s="350"/>
      <c r="I116" s="350"/>
      <c r="J116" s="351"/>
      <c r="K116" s="351"/>
      <c r="L116" s="350"/>
      <c r="M116" s="350"/>
      <c r="N116" s="350"/>
      <c r="O116" s="350"/>
      <c r="P116" s="350"/>
      <c r="Q116" s="352"/>
      <c r="R116" s="350"/>
      <c r="S116" s="350"/>
      <c r="T116" s="350"/>
      <c r="U116" s="350"/>
    </row>
    <row r="117" spans="1:21">
      <c r="A117" s="925"/>
      <c r="B117" s="925"/>
      <c r="C117" s="350"/>
      <c r="D117" s="350"/>
      <c r="E117" s="350"/>
      <c r="F117" s="350"/>
      <c r="G117" s="350"/>
      <c r="H117" s="350"/>
      <c r="I117" s="350"/>
      <c r="J117" s="351"/>
      <c r="K117" s="351"/>
      <c r="L117" s="350"/>
      <c r="M117" s="350"/>
      <c r="N117" s="350"/>
      <c r="O117" s="350"/>
      <c r="P117" s="350"/>
      <c r="Q117" s="352"/>
      <c r="R117" s="350"/>
      <c r="S117" s="350"/>
      <c r="T117" s="350"/>
      <c r="U117" s="350"/>
    </row>
    <row r="118" spans="1:21">
      <c r="A118" s="925"/>
      <c r="B118" s="925"/>
      <c r="C118" s="350"/>
      <c r="D118" s="350"/>
      <c r="E118" s="350"/>
      <c r="F118" s="350"/>
      <c r="G118" s="350"/>
      <c r="H118" s="350"/>
      <c r="I118" s="350"/>
      <c r="J118" s="351"/>
      <c r="K118" s="351"/>
      <c r="L118" s="350"/>
      <c r="M118" s="350"/>
      <c r="N118" s="350"/>
      <c r="O118" s="350"/>
      <c r="P118" s="350"/>
      <c r="Q118" s="352"/>
      <c r="R118" s="350"/>
      <c r="S118" s="350"/>
      <c r="T118" s="350"/>
      <c r="U118" s="350"/>
    </row>
    <row r="119" spans="1:21">
      <c r="A119" s="925"/>
      <c r="B119" s="925"/>
      <c r="C119" s="350"/>
      <c r="D119" s="350"/>
      <c r="E119" s="350"/>
      <c r="F119" s="350"/>
      <c r="G119" s="350"/>
      <c r="H119" s="350"/>
      <c r="I119" s="350"/>
      <c r="J119" s="351"/>
      <c r="K119" s="351"/>
      <c r="L119" s="350"/>
      <c r="M119" s="350"/>
      <c r="N119" s="350"/>
      <c r="O119" s="350"/>
      <c r="P119" s="350"/>
      <c r="Q119" s="352"/>
      <c r="R119" s="350"/>
      <c r="S119" s="350"/>
      <c r="T119" s="350"/>
      <c r="U119" s="350"/>
    </row>
    <row r="120" spans="1:21">
      <c r="A120" s="925"/>
      <c r="B120" s="925"/>
      <c r="C120" s="350"/>
      <c r="D120" s="350"/>
      <c r="E120" s="350"/>
      <c r="F120" s="350"/>
      <c r="G120" s="350"/>
      <c r="H120" s="350"/>
      <c r="I120" s="350"/>
      <c r="J120" s="351"/>
      <c r="K120" s="351"/>
      <c r="L120" s="350"/>
      <c r="M120" s="350"/>
      <c r="N120" s="350"/>
      <c r="O120" s="350"/>
      <c r="P120" s="350"/>
      <c r="Q120" s="394"/>
      <c r="R120" s="350"/>
      <c r="S120" s="350"/>
      <c r="T120" s="350"/>
      <c r="U120" s="350"/>
    </row>
    <row r="121" spans="1:21">
      <c r="A121" s="925"/>
      <c r="B121" s="925"/>
      <c r="C121" s="350"/>
      <c r="D121" s="350"/>
      <c r="E121" s="350"/>
      <c r="F121" s="350"/>
      <c r="G121" s="350"/>
      <c r="H121" s="350"/>
      <c r="I121" s="350"/>
      <c r="J121" s="351"/>
      <c r="K121" s="351"/>
      <c r="L121" s="350"/>
      <c r="M121" s="350"/>
      <c r="N121" s="350"/>
      <c r="O121" s="350"/>
      <c r="P121" s="350"/>
      <c r="Q121" s="352"/>
      <c r="R121" s="350"/>
      <c r="S121" s="350"/>
      <c r="T121" s="350"/>
      <c r="U121" s="350"/>
    </row>
    <row r="122" spans="1:21">
      <c r="A122" s="925"/>
      <c r="B122" s="925"/>
      <c r="C122" s="350"/>
      <c r="D122" s="350"/>
      <c r="E122" s="350"/>
      <c r="F122" s="350"/>
      <c r="G122" s="350"/>
      <c r="H122" s="350"/>
      <c r="I122" s="350"/>
      <c r="J122" s="351"/>
      <c r="K122" s="351"/>
      <c r="L122" s="350"/>
      <c r="M122" s="350"/>
      <c r="N122" s="350"/>
      <c r="O122" s="350"/>
      <c r="P122" s="350"/>
      <c r="Q122" s="352"/>
      <c r="R122" s="350"/>
      <c r="S122" s="350"/>
      <c r="T122" s="350"/>
      <c r="U122" s="350"/>
    </row>
    <row r="123" spans="1:21">
      <c r="A123" s="925"/>
      <c r="B123" s="925"/>
      <c r="C123" s="350"/>
      <c r="D123" s="350"/>
      <c r="E123" s="350"/>
      <c r="F123" s="350"/>
      <c r="G123" s="350"/>
      <c r="H123" s="350"/>
      <c r="I123" s="350"/>
      <c r="J123" s="351"/>
      <c r="K123" s="351"/>
      <c r="L123" s="350"/>
      <c r="M123" s="350"/>
      <c r="N123" s="350"/>
      <c r="O123" s="350"/>
      <c r="P123" s="350"/>
      <c r="Q123" s="352"/>
      <c r="R123" s="350"/>
      <c r="S123" s="350"/>
      <c r="T123" s="350"/>
      <c r="U123" s="350"/>
    </row>
    <row r="124" spans="1:21">
      <c r="A124" s="925"/>
      <c r="B124" s="925"/>
      <c r="C124" s="350"/>
      <c r="D124" s="350"/>
      <c r="E124" s="350"/>
      <c r="F124" s="350"/>
      <c r="G124" s="350"/>
      <c r="H124" s="350"/>
      <c r="I124" s="350"/>
      <c r="J124" s="351"/>
      <c r="K124" s="351"/>
      <c r="L124" s="350"/>
      <c r="M124" s="350"/>
      <c r="N124" s="350"/>
      <c r="O124" s="350"/>
      <c r="P124" s="350"/>
      <c r="Q124" s="352"/>
      <c r="R124" s="350"/>
      <c r="S124" s="350"/>
      <c r="T124" s="350"/>
      <c r="U124" s="350"/>
    </row>
    <row r="125" spans="1:21">
      <c r="A125" s="925"/>
      <c r="B125" s="925"/>
      <c r="C125" s="350"/>
      <c r="D125" s="350"/>
      <c r="E125" s="350"/>
      <c r="F125" s="350"/>
      <c r="G125" s="350"/>
      <c r="H125" s="350"/>
      <c r="I125" s="350"/>
      <c r="J125" s="351"/>
      <c r="K125" s="351"/>
      <c r="L125" s="350"/>
      <c r="M125" s="350"/>
      <c r="N125" s="350"/>
      <c r="O125" s="350"/>
      <c r="P125" s="350"/>
      <c r="Q125" s="352"/>
      <c r="R125" s="350"/>
      <c r="S125" s="350"/>
      <c r="T125" s="350"/>
      <c r="U125" s="350"/>
    </row>
    <row r="126" spans="1:21">
      <c r="A126" s="925"/>
      <c r="B126" s="925"/>
      <c r="C126" s="350"/>
      <c r="D126" s="350"/>
      <c r="E126" s="350"/>
      <c r="F126" s="350"/>
      <c r="G126" s="350"/>
      <c r="H126" s="350"/>
      <c r="I126" s="350"/>
      <c r="J126" s="351"/>
      <c r="K126" s="351"/>
      <c r="L126" s="350"/>
      <c r="M126" s="350"/>
      <c r="N126" s="350"/>
      <c r="O126" s="350"/>
      <c r="P126" s="350"/>
      <c r="Q126" s="352"/>
      <c r="R126" s="350"/>
      <c r="S126" s="350"/>
      <c r="T126" s="350"/>
      <c r="U126" s="350"/>
    </row>
    <row r="127" spans="1:21">
      <c r="A127" s="925"/>
      <c r="B127" s="925"/>
      <c r="C127" s="350"/>
      <c r="D127" s="350"/>
      <c r="E127" s="350"/>
      <c r="F127" s="350"/>
      <c r="G127" s="350"/>
      <c r="H127" s="350"/>
      <c r="I127" s="350"/>
      <c r="J127" s="351"/>
      <c r="K127" s="351"/>
      <c r="L127" s="350"/>
      <c r="M127" s="350"/>
      <c r="N127" s="350"/>
      <c r="O127" s="350"/>
      <c r="P127" s="350"/>
      <c r="Q127" s="352"/>
      <c r="R127" s="350"/>
      <c r="S127" s="350"/>
      <c r="T127" s="350"/>
      <c r="U127" s="350"/>
    </row>
    <row r="128" spans="1:21">
      <c r="A128" s="925"/>
      <c r="B128" s="925"/>
      <c r="C128" s="350"/>
      <c r="D128" s="350"/>
      <c r="E128" s="350"/>
      <c r="F128" s="350"/>
      <c r="G128" s="350"/>
      <c r="H128" s="350"/>
      <c r="I128" s="350"/>
      <c r="J128" s="351"/>
      <c r="K128" s="351"/>
      <c r="L128" s="350"/>
      <c r="M128" s="350"/>
      <c r="N128" s="350"/>
      <c r="O128" s="350"/>
      <c r="P128" s="350"/>
      <c r="Q128" s="352"/>
      <c r="R128" s="350"/>
      <c r="S128" s="350"/>
      <c r="T128" s="350"/>
      <c r="U128" s="350"/>
    </row>
    <row r="129" spans="1:21">
      <c r="A129" s="925"/>
      <c r="B129" s="925"/>
      <c r="C129" s="350"/>
      <c r="D129" s="350"/>
      <c r="E129" s="350"/>
      <c r="F129" s="350"/>
      <c r="G129" s="350"/>
      <c r="H129" s="350"/>
      <c r="I129" s="350"/>
      <c r="J129" s="351"/>
      <c r="K129" s="351"/>
      <c r="L129" s="350"/>
      <c r="M129" s="350"/>
      <c r="N129" s="350"/>
      <c r="O129" s="350"/>
      <c r="P129" s="350"/>
      <c r="Q129" s="352"/>
      <c r="R129" s="350"/>
      <c r="S129" s="350"/>
      <c r="T129" s="350"/>
      <c r="U129" s="350"/>
    </row>
    <row r="130" spans="1:21">
      <c r="A130" s="925"/>
      <c r="B130" s="925"/>
      <c r="C130" s="350"/>
      <c r="D130" s="350"/>
      <c r="E130" s="350"/>
      <c r="F130" s="350"/>
      <c r="G130" s="350"/>
      <c r="H130" s="350"/>
      <c r="I130" s="350"/>
      <c r="J130" s="351"/>
      <c r="K130" s="351"/>
      <c r="L130" s="350"/>
      <c r="M130" s="350"/>
      <c r="N130" s="350"/>
      <c r="O130" s="350"/>
      <c r="P130" s="350"/>
      <c r="Q130" s="352"/>
      <c r="R130" s="350"/>
      <c r="S130" s="350"/>
      <c r="T130" s="350"/>
      <c r="U130" s="350"/>
    </row>
    <row r="131" spans="1:21">
      <c r="A131" s="925"/>
      <c r="B131" s="925"/>
      <c r="C131" s="350"/>
      <c r="D131" s="350"/>
      <c r="E131" s="350"/>
      <c r="F131" s="350"/>
      <c r="G131" s="350"/>
      <c r="H131" s="350"/>
      <c r="I131" s="350"/>
      <c r="J131" s="351"/>
      <c r="K131" s="351"/>
      <c r="L131" s="350"/>
      <c r="M131" s="350"/>
      <c r="N131" s="350"/>
      <c r="O131" s="350"/>
      <c r="P131" s="350"/>
      <c r="Q131" s="352"/>
      <c r="R131" s="350"/>
      <c r="S131" s="350"/>
      <c r="T131" s="350"/>
      <c r="U131" s="350"/>
    </row>
    <row r="132" spans="1:21">
      <c r="A132" s="925"/>
      <c r="B132" s="925"/>
      <c r="C132" s="350"/>
      <c r="D132" s="350"/>
      <c r="E132" s="350"/>
      <c r="F132" s="350"/>
      <c r="G132" s="350"/>
      <c r="H132" s="350"/>
      <c r="I132" s="350"/>
      <c r="J132" s="351"/>
      <c r="K132" s="351"/>
      <c r="L132" s="350"/>
      <c r="M132" s="350"/>
      <c r="N132" s="350"/>
      <c r="O132" s="350"/>
      <c r="P132" s="350"/>
      <c r="Q132" s="352"/>
      <c r="R132" s="350"/>
      <c r="S132" s="350"/>
      <c r="T132" s="350"/>
      <c r="U132" s="350"/>
    </row>
    <row r="133" spans="1:21">
      <c r="A133" s="925"/>
      <c r="B133" s="925"/>
      <c r="C133" s="350"/>
      <c r="D133" s="350"/>
      <c r="E133" s="350"/>
      <c r="F133" s="350"/>
      <c r="G133" s="350"/>
      <c r="H133" s="350"/>
      <c r="I133" s="350"/>
      <c r="J133" s="351"/>
      <c r="K133" s="351"/>
      <c r="L133" s="350"/>
      <c r="M133" s="350"/>
      <c r="N133" s="350"/>
      <c r="O133" s="350"/>
      <c r="P133" s="350"/>
      <c r="Q133" s="352"/>
      <c r="R133" s="350"/>
      <c r="S133" s="350"/>
      <c r="T133" s="350"/>
      <c r="U133" s="350"/>
    </row>
    <row r="134" spans="1:21">
      <c r="A134" s="925"/>
      <c r="B134" s="925"/>
      <c r="C134" s="350"/>
      <c r="D134" s="350"/>
      <c r="E134" s="350"/>
      <c r="F134" s="350"/>
      <c r="G134" s="350"/>
      <c r="H134" s="350"/>
      <c r="I134" s="350"/>
      <c r="J134" s="351"/>
      <c r="K134" s="351"/>
      <c r="L134" s="350"/>
      <c r="M134" s="350"/>
      <c r="N134" s="350"/>
      <c r="O134" s="350"/>
      <c r="P134" s="350"/>
      <c r="Q134" s="352"/>
      <c r="R134" s="350"/>
      <c r="S134" s="350"/>
      <c r="T134" s="350"/>
      <c r="U134" s="350"/>
    </row>
    <row r="135" spans="1:21">
      <c r="A135" s="925"/>
      <c r="B135" s="925"/>
      <c r="C135" s="350"/>
      <c r="D135" s="350"/>
      <c r="E135" s="350"/>
      <c r="F135" s="350"/>
      <c r="G135" s="350"/>
      <c r="H135" s="350"/>
      <c r="I135" s="350"/>
      <c r="J135" s="351"/>
      <c r="K135" s="351"/>
      <c r="L135" s="350"/>
      <c r="M135" s="350"/>
      <c r="N135" s="350"/>
      <c r="O135" s="350"/>
      <c r="P135" s="350"/>
      <c r="Q135" s="352"/>
      <c r="R135" s="350"/>
      <c r="S135" s="350"/>
      <c r="T135" s="350"/>
      <c r="U135" s="350"/>
    </row>
    <row r="136" spans="1:21">
      <c r="A136" s="925"/>
      <c r="B136" s="925"/>
      <c r="C136" s="350"/>
      <c r="D136" s="350"/>
      <c r="E136" s="350"/>
      <c r="F136" s="350"/>
      <c r="G136" s="350"/>
      <c r="H136" s="350"/>
      <c r="I136" s="350"/>
      <c r="J136" s="351"/>
      <c r="K136" s="351"/>
      <c r="L136" s="350"/>
      <c r="M136" s="350"/>
      <c r="N136" s="350"/>
      <c r="O136" s="350"/>
      <c r="P136" s="350"/>
      <c r="Q136" s="352"/>
      <c r="R136" s="350"/>
      <c r="S136" s="350"/>
      <c r="T136" s="350"/>
      <c r="U136" s="350"/>
    </row>
    <row r="137" spans="1:21">
      <c r="A137" s="925"/>
      <c r="B137" s="925"/>
      <c r="C137" s="350"/>
      <c r="D137" s="350"/>
      <c r="E137" s="350"/>
      <c r="F137" s="350"/>
      <c r="G137" s="350"/>
      <c r="H137" s="350"/>
      <c r="I137" s="350"/>
      <c r="J137" s="351"/>
      <c r="K137" s="351"/>
      <c r="L137" s="350"/>
      <c r="M137" s="350"/>
      <c r="N137" s="350"/>
      <c r="O137" s="350"/>
      <c r="P137" s="350"/>
      <c r="Q137" s="352"/>
      <c r="R137" s="350"/>
      <c r="S137" s="350"/>
      <c r="T137" s="350"/>
      <c r="U137" s="350"/>
    </row>
    <row r="138" spans="1:21">
      <c r="A138" s="925"/>
      <c r="B138" s="925"/>
      <c r="C138" s="350"/>
      <c r="D138" s="350"/>
      <c r="E138" s="350"/>
      <c r="F138" s="350"/>
      <c r="G138" s="350"/>
      <c r="H138" s="350"/>
      <c r="I138" s="350"/>
      <c r="J138" s="351"/>
      <c r="K138" s="351"/>
      <c r="L138" s="350"/>
      <c r="M138" s="350"/>
      <c r="N138" s="350"/>
      <c r="O138" s="350"/>
      <c r="P138" s="350"/>
      <c r="Q138" s="352"/>
      <c r="R138" s="350"/>
      <c r="S138" s="350"/>
      <c r="T138" s="350"/>
      <c r="U138" s="350"/>
    </row>
    <row r="139" spans="1:21">
      <c r="A139" s="925"/>
      <c r="B139" s="925"/>
      <c r="C139" s="350"/>
      <c r="D139" s="350"/>
      <c r="E139" s="350"/>
      <c r="F139" s="350"/>
      <c r="G139" s="350"/>
      <c r="H139" s="350"/>
      <c r="I139" s="350"/>
      <c r="J139" s="351"/>
      <c r="K139" s="351"/>
      <c r="L139" s="350"/>
      <c r="M139" s="350"/>
      <c r="N139" s="350"/>
      <c r="O139" s="350"/>
      <c r="P139" s="350"/>
      <c r="Q139" s="352"/>
      <c r="R139" s="350"/>
      <c r="S139" s="350"/>
      <c r="T139" s="350"/>
      <c r="U139" s="350"/>
    </row>
    <row r="140" spans="1:21">
      <c r="A140" s="925"/>
      <c r="B140" s="925"/>
      <c r="C140" s="350"/>
      <c r="D140" s="350"/>
      <c r="E140" s="350"/>
      <c r="F140" s="350"/>
      <c r="G140" s="350"/>
      <c r="H140" s="350"/>
      <c r="I140" s="350"/>
      <c r="J140" s="351"/>
      <c r="K140" s="351"/>
      <c r="L140" s="350"/>
      <c r="M140" s="350"/>
      <c r="N140" s="350"/>
      <c r="O140" s="350"/>
      <c r="P140" s="350"/>
      <c r="Q140" s="352"/>
      <c r="R140" s="350"/>
      <c r="S140" s="350"/>
      <c r="T140" s="350"/>
      <c r="U140" s="350"/>
    </row>
    <row r="141" spans="1:21">
      <c r="A141" s="925"/>
      <c r="B141" s="925"/>
      <c r="C141" s="350"/>
      <c r="D141" s="350"/>
      <c r="E141" s="350"/>
      <c r="F141" s="350"/>
      <c r="G141" s="350"/>
      <c r="H141" s="350"/>
      <c r="I141" s="350"/>
      <c r="J141" s="351"/>
      <c r="K141" s="351"/>
      <c r="L141" s="350"/>
      <c r="M141" s="350"/>
      <c r="N141" s="350"/>
      <c r="O141" s="350"/>
      <c r="P141" s="350"/>
      <c r="Q141" s="352"/>
      <c r="R141" s="350"/>
      <c r="S141" s="350"/>
      <c r="T141" s="350"/>
      <c r="U141" s="350"/>
    </row>
    <row r="142" spans="1:21">
      <c r="A142" s="925"/>
      <c r="B142" s="925"/>
      <c r="C142" s="350"/>
      <c r="D142" s="350"/>
      <c r="E142" s="350"/>
      <c r="F142" s="350"/>
      <c r="G142" s="350"/>
      <c r="H142" s="350"/>
      <c r="I142" s="350"/>
      <c r="J142" s="351"/>
      <c r="K142" s="351"/>
      <c r="L142" s="350"/>
      <c r="M142" s="350"/>
      <c r="N142" s="350"/>
      <c r="O142" s="350"/>
      <c r="P142" s="350"/>
      <c r="Q142" s="352"/>
      <c r="R142" s="350"/>
      <c r="S142" s="350"/>
      <c r="T142" s="350"/>
      <c r="U142" s="350"/>
    </row>
    <row r="143" spans="1:21">
      <c r="A143" s="925"/>
      <c r="B143" s="925"/>
      <c r="C143" s="350"/>
      <c r="D143" s="350"/>
      <c r="E143" s="350"/>
      <c r="F143" s="350"/>
      <c r="G143" s="350"/>
      <c r="H143" s="350"/>
      <c r="I143" s="350"/>
      <c r="J143" s="351"/>
      <c r="K143" s="351"/>
      <c r="L143" s="350"/>
      <c r="M143" s="350"/>
      <c r="N143" s="350"/>
      <c r="O143" s="350"/>
      <c r="P143" s="350"/>
      <c r="Q143" s="352"/>
      <c r="R143" s="350"/>
      <c r="S143" s="350"/>
      <c r="T143" s="350"/>
      <c r="U143" s="350"/>
    </row>
    <row r="144" spans="1:21">
      <c r="A144" s="925"/>
      <c r="B144" s="925"/>
      <c r="C144" s="350"/>
      <c r="D144" s="350"/>
      <c r="E144" s="350"/>
      <c r="F144" s="350"/>
      <c r="G144" s="350"/>
      <c r="H144" s="350"/>
      <c r="I144" s="350"/>
      <c r="J144" s="351"/>
      <c r="K144" s="351"/>
      <c r="L144" s="350"/>
      <c r="M144" s="350"/>
      <c r="N144" s="350"/>
      <c r="O144" s="350"/>
      <c r="P144" s="350"/>
      <c r="Q144" s="352"/>
      <c r="R144" s="350"/>
      <c r="S144" s="350"/>
      <c r="T144" s="350"/>
      <c r="U144" s="350"/>
    </row>
    <row r="145" spans="1:21">
      <c r="A145" s="925"/>
      <c r="B145" s="925"/>
      <c r="C145" s="350"/>
      <c r="D145" s="350"/>
      <c r="E145" s="350"/>
      <c r="F145" s="350"/>
      <c r="G145" s="350"/>
      <c r="H145" s="350"/>
      <c r="I145" s="350"/>
      <c r="J145" s="351"/>
      <c r="K145" s="351"/>
      <c r="L145" s="350"/>
      <c r="M145" s="350"/>
      <c r="N145" s="350"/>
      <c r="O145" s="350"/>
      <c r="P145" s="350"/>
      <c r="Q145" s="352"/>
      <c r="R145" s="350"/>
      <c r="S145" s="350"/>
      <c r="T145" s="350"/>
      <c r="U145" s="350"/>
    </row>
    <row r="146" spans="1:21">
      <c r="A146" s="925"/>
      <c r="B146" s="925"/>
      <c r="C146" s="350"/>
      <c r="D146" s="350"/>
      <c r="E146" s="350"/>
      <c r="F146" s="350"/>
      <c r="G146" s="350"/>
      <c r="H146" s="350"/>
      <c r="I146" s="350"/>
      <c r="J146" s="351"/>
      <c r="K146" s="351"/>
      <c r="L146" s="350"/>
      <c r="M146" s="350"/>
      <c r="N146" s="350"/>
      <c r="O146" s="350"/>
      <c r="P146" s="350"/>
      <c r="Q146" s="352"/>
      <c r="R146" s="350"/>
      <c r="S146" s="350"/>
      <c r="T146" s="350"/>
      <c r="U146" s="350"/>
    </row>
    <row r="147" spans="1:21">
      <c r="A147" s="925"/>
      <c r="B147" s="925"/>
      <c r="C147" s="350"/>
      <c r="D147" s="350"/>
      <c r="E147" s="350"/>
      <c r="F147" s="350"/>
      <c r="G147" s="350"/>
      <c r="H147" s="350"/>
      <c r="I147" s="350"/>
      <c r="J147" s="351"/>
      <c r="K147" s="351"/>
      <c r="L147" s="350"/>
      <c r="M147" s="350"/>
      <c r="N147" s="350"/>
      <c r="O147" s="350"/>
      <c r="P147" s="350"/>
      <c r="Q147" s="352"/>
      <c r="R147" s="350"/>
      <c r="S147" s="350"/>
      <c r="T147" s="350"/>
      <c r="U147" s="350"/>
    </row>
    <row r="148" spans="1:21">
      <c r="A148" s="925"/>
      <c r="B148" s="925"/>
      <c r="C148" s="350"/>
      <c r="D148" s="350"/>
      <c r="E148" s="350"/>
      <c r="F148" s="350"/>
      <c r="G148" s="350"/>
      <c r="H148" s="350"/>
      <c r="I148" s="350"/>
      <c r="J148" s="351"/>
      <c r="K148" s="351"/>
      <c r="L148" s="350"/>
      <c r="M148" s="350"/>
      <c r="N148" s="350"/>
      <c r="O148" s="350"/>
      <c r="P148" s="350"/>
      <c r="Q148" s="352"/>
      <c r="R148" s="350"/>
      <c r="S148" s="350"/>
      <c r="T148" s="350"/>
      <c r="U148" s="350"/>
    </row>
    <row r="149" spans="1:21">
      <c r="A149" s="925"/>
      <c r="B149" s="925"/>
      <c r="C149" s="350"/>
      <c r="D149" s="350"/>
      <c r="E149" s="350"/>
      <c r="F149" s="350"/>
      <c r="G149" s="350"/>
      <c r="H149" s="350"/>
      <c r="I149" s="350"/>
      <c r="J149" s="351"/>
      <c r="K149" s="351"/>
      <c r="L149" s="350"/>
      <c r="M149" s="350"/>
      <c r="N149" s="350"/>
      <c r="O149" s="350"/>
      <c r="P149" s="350"/>
      <c r="Q149" s="352"/>
      <c r="R149" s="350"/>
      <c r="S149" s="350"/>
      <c r="T149" s="350"/>
      <c r="U149" s="350"/>
    </row>
    <row r="150" spans="1:21">
      <c r="A150" s="925"/>
      <c r="B150" s="925"/>
      <c r="C150" s="350"/>
      <c r="D150" s="350"/>
      <c r="E150" s="350"/>
      <c r="F150" s="350"/>
      <c r="G150" s="350"/>
      <c r="H150" s="350"/>
      <c r="I150" s="350"/>
      <c r="J150" s="351"/>
      <c r="K150" s="351"/>
      <c r="L150" s="350"/>
      <c r="M150" s="350"/>
      <c r="N150" s="350"/>
      <c r="O150" s="350"/>
      <c r="P150" s="350"/>
      <c r="Q150" s="352"/>
      <c r="R150" s="350"/>
      <c r="S150" s="350"/>
      <c r="T150" s="350"/>
      <c r="U150" s="350"/>
    </row>
    <row r="151" spans="1:21">
      <c r="A151" s="925"/>
      <c r="B151" s="925"/>
      <c r="C151" s="350"/>
      <c r="D151" s="350"/>
      <c r="E151" s="350"/>
      <c r="F151" s="350"/>
      <c r="G151" s="350"/>
      <c r="H151" s="350"/>
      <c r="I151" s="350"/>
      <c r="J151" s="351"/>
      <c r="K151" s="351"/>
      <c r="L151" s="350"/>
      <c r="M151" s="350"/>
      <c r="N151" s="350"/>
      <c r="O151" s="350"/>
      <c r="P151" s="350"/>
      <c r="Q151" s="352"/>
      <c r="R151" s="350"/>
      <c r="S151" s="350"/>
      <c r="T151" s="350"/>
      <c r="U151" s="350"/>
    </row>
    <row r="152" spans="1:21">
      <c r="A152" s="925"/>
      <c r="B152" s="925"/>
      <c r="C152" s="350"/>
      <c r="D152" s="350"/>
      <c r="E152" s="350"/>
      <c r="F152" s="350"/>
      <c r="G152" s="350"/>
      <c r="H152" s="350"/>
      <c r="I152" s="350"/>
      <c r="J152" s="351"/>
      <c r="K152" s="351"/>
      <c r="L152" s="350"/>
      <c r="M152" s="350"/>
      <c r="N152" s="350"/>
      <c r="O152" s="350"/>
      <c r="P152" s="350"/>
      <c r="Q152" s="352"/>
      <c r="R152" s="350"/>
      <c r="S152" s="350"/>
      <c r="T152" s="350"/>
      <c r="U152" s="350"/>
    </row>
    <row r="153" spans="1:21">
      <c r="A153" s="925"/>
      <c r="B153" s="925"/>
      <c r="C153" s="350"/>
      <c r="D153" s="350"/>
      <c r="E153" s="350"/>
      <c r="F153" s="350"/>
      <c r="G153" s="350"/>
      <c r="H153" s="350"/>
      <c r="I153" s="350"/>
      <c r="J153" s="351"/>
      <c r="K153" s="351"/>
      <c r="L153" s="350"/>
      <c r="M153" s="350"/>
      <c r="N153" s="350"/>
      <c r="O153" s="350"/>
      <c r="P153" s="350"/>
      <c r="Q153" s="352"/>
      <c r="R153" s="350"/>
      <c r="S153" s="350"/>
      <c r="T153" s="350"/>
      <c r="U153" s="350"/>
    </row>
    <row r="154" spans="1:21">
      <c r="A154" s="925"/>
      <c r="B154" s="925"/>
      <c r="C154" s="350"/>
      <c r="D154" s="350"/>
      <c r="E154" s="350"/>
      <c r="F154" s="350"/>
      <c r="G154" s="350"/>
      <c r="H154" s="350"/>
      <c r="I154" s="350"/>
      <c r="J154" s="351"/>
      <c r="K154" s="351"/>
      <c r="L154" s="350"/>
      <c r="M154" s="350"/>
      <c r="N154" s="350"/>
      <c r="O154" s="350"/>
      <c r="P154" s="350"/>
      <c r="Q154" s="352"/>
      <c r="R154" s="350"/>
      <c r="S154" s="350"/>
      <c r="T154" s="350"/>
      <c r="U154" s="350"/>
    </row>
    <row r="155" spans="1:21">
      <c r="A155" s="925"/>
      <c r="B155" s="925"/>
      <c r="C155" s="350"/>
      <c r="D155" s="350"/>
      <c r="E155" s="350"/>
      <c r="F155" s="350"/>
      <c r="G155" s="350"/>
      <c r="H155" s="350"/>
      <c r="I155" s="350"/>
      <c r="J155" s="351"/>
      <c r="K155" s="351"/>
      <c r="L155" s="350"/>
      <c r="M155" s="350"/>
      <c r="N155" s="350"/>
      <c r="O155" s="350"/>
      <c r="P155" s="350"/>
      <c r="Q155" s="394"/>
      <c r="R155" s="350"/>
      <c r="S155" s="350"/>
      <c r="T155" s="350"/>
      <c r="U155" s="350"/>
    </row>
    <row r="156" spans="1:21">
      <c r="A156" s="925"/>
      <c r="B156" s="925"/>
      <c r="C156" s="350"/>
      <c r="D156" s="350"/>
      <c r="E156" s="350"/>
      <c r="F156" s="350"/>
      <c r="G156" s="350"/>
      <c r="H156" s="350"/>
      <c r="I156" s="350"/>
      <c r="J156" s="351"/>
      <c r="K156" s="351"/>
      <c r="L156" s="350"/>
      <c r="M156" s="350"/>
      <c r="N156" s="350"/>
      <c r="O156" s="350"/>
      <c r="P156" s="350"/>
      <c r="Q156" s="352"/>
      <c r="R156" s="350"/>
      <c r="S156" s="350"/>
      <c r="T156" s="350"/>
      <c r="U156" s="350"/>
    </row>
    <row r="157" spans="1:21">
      <c r="A157" s="925"/>
      <c r="B157" s="925"/>
      <c r="C157" s="350"/>
      <c r="D157" s="350"/>
      <c r="E157" s="350"/>
      <c r="F157" s="350"/>
      <c r="G157" s="350"/>
      <c r="H157" s="350"/>
      <c r="I157" s="350"/>
      <c r="J157" s="351"/>
      <c r="K157" s="351"/>
      <c r="L157" s="350"/>
      <c r="M157" s="350"/>
      <c r="N157" s="350"/>
      <c r="O157" s="350"/>
      <c r="P157" s="350"/>
      <c r="Q157" s="352"/>
      <c r="R157" s="350"/>
      <c r="S157" s="350"/>
      <c r="T157" s="350"/>
      <c r="U157" s="350"/>
    </row>
    <row r="158" spans="1:21">
      <c r="A158" s="925"/>
      <c r="B158" s="925"/>
      <c r="C158" s="350"/>
      <c r="D158" s="350"/>
      <c r="E158" s="350"/>
      <c r="F158" s="350"/>
      <c r="G158" s="350"/>
      <c r="H158" s="350"/>
      <c r="I158" s="350"/>
      <c r="J158" s="351"/>
      <c r="K158" s="351"/>
      <c r="L158" s="350"/>
      <c r="M158" s="350"/>
      <c r="N158" s="350"/>
      <c r="O158" s="350"/>
      <c r="P158" s="350"/>
      <c r="Q158" s="352"/>
      <c r="R158" s="350"/>
      <c r="S158" s="350"/>
      <c r="T158" s="350"/>
      <c r="U158" s="350"/>
    </row>
    <row r="159" spans="1:21">
      <c r="A159" s="925"/>
      <c r="B159" s="925"/>
      <c r="C159" s="350"/>
      <c r="D159" s="350"/>
      <c r="E159" s="350"/>
      <c r="F159" s="350"/>
      <c r="G159" s="350"/>
      <c r="H159" s="350"/>
      <c r="I159" s="350"/>
      <c r="J159" s="351"/>
      <c r="K159" s="351"/>
      <c r="L159" s="350"/>
      <c r="M159" s="350"/>
      <c r="N159" s="350"/>
      <c r="O159" s="350"/>
      <c r="P159" s="350"/>
      <c r="Q159" s="352"/>
      <c r="R159" s="350"/>
      <c r="S159" s="350"/>
      <c r="T159" s="350"/>
      <c r="U159" s="350"/>
    </row>
    <row r="160" spans="1:21">
      <c r="A160" s="925"/>
      <c r="B160" s="925"/>
      <c r="C160" s="350"/>
      <c r="D160" s="350"/>
      <c r="E160" s="350"/>
      <c r="F160" s="350"/>
      <c r="G160" s="350"/>
      <c r="H160" s="350"/>
      <c r="I160" s="350"/>
      <c r="J160" s="351"/>
      <c r="K160" s="351"/>
      <c r="L160" s="350"/>
      <c r="M160" s="350"/>
      <c r="N160" s="350"/>
      <c r="O160" s="350"/>
      <c r="P160" s="350"/>
      <c r="Q160" s="352"/>
      <c r="R160" s="350"/>
      <c r="S160" s="350"/>
      <c r="T160" s="350"/>
      <c r="U160" s="350"/>
    </row>
    <row r="161" spans="1:21">
      <c r="A161" s="925"/>
      <c r="B161" s="925"/>
      <c r="C161" s="350"/>
      <c r="D161" s="350"/>
      <c r="E161" s="350"/>
      <c r="F161" s="350"/>
      <c r="G161" s="350"/>
      <c r="H161" s="350"/>
      <c r="I161" s="350"/>
      <c r="J161" s="351"/>
      <c r="K161" s="351"/>
      <c r="L161" s="350"/>
      <c r="M161" s="350"/>
      <c r="N161" s="350"/>
      <c r="O161" s="350"/>
      <c r="P161" s="350"/>
      <c r="Q161" s="352"/>
      <c r="R161" s="350"/>
      <c r="S161" s="350"/>
      <c r="T161" s="350"/>
      <c r="U161" s="350"/>
    </row>
    <row r="162" spans="1:21">
      <c r="A162" s="925"/>
      <c r="B162" s="925"/>
      <c r="C162" s="350"/>
      <c r="D162" s="350"/>
      <c r="E162" s="350"/>
      <c r="F162" s="350"/>
      <c r="G162" s="350"/>
      <c r="H162" s="350"/>
      <c r="I162" s="350"/>
      <c r="J162" s="351"/>
      <c r="K162" s="351"/>
      <c r="L162" s="350"/>
      <c r="M162" s="350"/>
      <c r="N162" s="350"/>
      <c r="O162" s="350"/>
      <c r="P162" s="350"/>
      <c r="Q162" s="352"/>
      <c r="R162" s="350"/>
      <c r="S162" s="350"/>
      <c r="T162" s="350"/>
      <c r="U162" s="350"/>
    </row>
    <row r="163" spans="1:21">
      <c r="A163" s="925"/>
      <c r="B163" s="925"/>
      <c r="C163" s="350"/>
      <c r="D163" s="350"/>
      <c r="E163" s="350"/>
      <c r="F163" s="350"/>
      <c r="G163" s="350"/>
      <c r="H163" s="350"/>
      <c r="I163" s="350"/>
      <c r="J163" s="351"/>
      <c r="K163" s="351"/>
      <c r="L163" s="350"/>
      <c r="M163" s="350"/>
      <c r="N163" s="350"/>
      <c r="O163" s="350"/>
      <c r="P163" s="350"/>
      <c r="Q163" s="352"/>
      <c r="R163" s="350"/>
      <c r="S163" s="350"/>
      <c r="T163" s="350"/>
      <c r="U163" s="350"/>
    </row>
    <row r="164" spans="1:21">
      <c r="A164" s="925"/>
      <c r="B164" s="925"/>
      <c r="C164" s="350"/>
      <c r="D164" s="350"/>
      <c r="E164" s="350"/>
      <c r="F164" s="350"/>
      <c r="G164" s="350"/>
      <c r="H164" s="350"/>
      <c r="I164" s="350"/>
      <c r="J164" s="351"/>
      <c r="K164" s="351"/>
      <c r="L164" s="350"/>
      <c r="M164" s="350"/>
      <c r="N164" s="350"/>
      <c r="O164" s="350"/>
      <c r="P164" s="350"/>
      <c r="Q164" s="352"/>
      <c r="R164" s="350"/>
      <c r="S164" s="350"/>
      <c r="T164" s="350"/>
      <c r="U164" s="350"/>
    </row>
    <row r="165" spans="1:21">
      <c r="A165" s="925"/>
      <c r="B165" s="925"/>
      <c r="C165" s="350"/>
      <c r="D165" s="350"/>
      <c r="E165" s="350"/>
      <c r="F165" s="350"/>
      <c r="G165" s="350"/>
      <c r="H165" s="350"/>
      <c r="I165" s="350"/>
      <c r="J165" s="351"/>
      <c r="K165" s="351"/>
      <c r="L165" s="350"/>
      <c r="M165" s="350"/>
      <c r="N165" s="350"/>
      <c r="O165" s="350"/>
      <c r="P165" s="350"/>
      <c r="Q165" s="352"/>
      <c r="R165" s="350"/>
      <c r="S165" s="350"/>
      <c r="T165" s="350"/>
      <c r="U165" s="350"/>
    </row>
    <row r="166" spans="1:21">
      <c r="A166" s="925"/>
      <c r="B166" s="925"/>
      <c r="C166" s="350"/>
      <c r="D166" s="350"/>
      <c r="E166" s="350"/>
      <c r="F166" s="350"/>
      <c r="G166" s="350"/>
      <c r="H166" s="350"/>
      <c r="I166" s="350"/>
      <c r="J166" s="351"/>
      <c r="K166" s="351"/>
      <c r="L166" s="350"/>
      <c r="M166" s="350"/>
      <c r="N166" s="350"/>
      <c r="O166" s="350"/>
      <c r="P166" s="350"/>
      <c r="Q166" s="352"/>
      <c r="R166" s="350"/>
      <c r="S166" s="350"/>
      <c r="T166" s="350"/>
      <c r="U166" s="350"/>
    </row>
    <row r="167" spans="1:21">
      <c r="A167" s="925"/>
      <c r="B167" s="925"/>
      <c r="C167" s="350"/>
      <c r="D167" s="350"/>
      <c r="E167" s="350"/>
      <c r="F167" s="350"/>
      <c r="G167" s="350"/>
      <c r="H167" s="350"/>
      <c r="I167" s="350"/>
      <c r="J167" s="351"/>
      <c r="K167" s="351"/>
      <c r="L167" s="350"/>
      <c r="M167" s="350"/>
      <c r="N167" s="350"/>
      <c r="O167" s="350"/>
      <c r="P167" s="350"/>
      <c r="Q167" s="352"/>
      <c r="R167" s="350"/>
      <c r="S167" s="350"/>
      <c r="T167" s="350"/>
      <c r="U167" s="350"/>
    </row>
    <row r="168" spans="1:21">
      <c r="A168" s="925"/>
      <c r="B168" s="925"/>
      <c r="C168" s="350"/>
      <c r="D168" s="350"/>
      <c r="E168" s="350"/>
      <c r="F168" s="350"/>
      <c r="G168" s="350"/>
      <c r="H168" s="350"/>
      <c r="I168" s="350"/>
      <c r="J168" s="351"/>
      <c r="K168" s="351"/>
      <c r="L168" s="350"/>
      <c r="M168" s="350"/>
      <c r="N168" s="350"/>
      <c r="O168" s="350"/>
      <c r="P168" s="350"/>
      <c r="Q168" s="352"/>
      <c r="R168" s="350"/>
      <c r="S168" s="350"/>
      <c r="T168" s="350"/>
      <c r="U168" s="350"/>
    </row>
    <row r="169" spans="1:21">
      <c r="A169" s="925"/>
      <c r="B169" s="925"/>
      <c r="C169" s="350"/>
      <c r="D169" s="350"/>
      <c r="E169" s="350"/>
      <c r="F169" s="350"/>
      <c r="G169" s="350"/>
      <c r="H169" s="350"/>
      <c r="I169" s="350"/>
      <c r="J169" s="351"/>
      <c r="K169" s="351"/>
      <c r="L169" s="350"/>
      <c r="M169" s="350"/>
      <c r="N169" s="350"/>
      <c r="O169" s="350"/>
      <c r="P169" s="350"/>
      <c r="Q169" s="352"/>
      <c r="R169" s="350"/>
      <c r="S169" s="350"/>
      <c r="T169" s="350"/>
      <c r="U169" s="350"/>
    </row>
    <row r="170" spans="1:21">
      <c r="A170" s="925"/>
      <c r="B170" s="925"/>
      <c r="C170" s="350"/>
      <c r="D170" s="350"/>
      <c r="E170" s="350"/>
      <c r="F170" s="350"/>
      <c r="G170" s="350"/>
      <c r="H170" s="350"/>
      <c r="I170" s="350"/>
      <c r="J170" s="351"/>
      <c r="K170" s="351"/>
      <c r="L170" s="350"/>
      <c r="M170" s="350"/>
      <c r="N170" s="350"/>
      <c r="O170" s="350"/>
      <c r="P170" s="350"/>
      <c r="Q170" s="352"/>
      <c r="R170" s="350"/>
      <c r="S170" s="350"/>
      <c r="T170" s="350"/>
      <c r="U170" s="350"/>
    </row>
    <row r="171" spans="1:21">
      <c r="A171" s="925"/>
      <c r="B171" s="925"/>
      <c r="C171" s="350"/>
      <c r="D171" s="350"/>
      <c r="E171" s="350"/>
      <c r="F171" s="350"/>
      <c r="G171" s="350"/>
      <c r="H171" s="350"/>
      <c r="I171" s="350"/>
      <c r="J171" s="351"/>
      <c r="K171" s="351"/>
      <c r="L171" s="350"/>
      <c r="M171" s="350"/>
      <c r="N171" s="350"/>
      <c r="O171" s="350"/>
      <c r="P171" s="350"/>
      <c r="Q171" s="352"/>
      <c r="R171" s="350"/>
      <c r="S171" s="350"/>
      <c r="T171" s="350"/>
      <c r="U171" s="350"/>
    </row>
    <row r="172" spans="1:21">
      <c r="A172" s="925"/>
      <c r="B172" s="925"/>
      <c r="C172" s="350"/>
      <c r="D172" s="350"/>
      <c r="E172" s="350"/>
      <c r="F172" s="350"/>
      <c r="G172" s="350"/>
      <c r="H172" s="350"/>
      <c r="I172" s="350"/>
      <c r="J172" s="351"/>
      <c r="K172" s="351"/>
      <c r="L172" s="350"/>
      <c r="M172" s="350"/>
      <c r="N172" s="350"/>
      <c r="O172" s="350"/>
      <c r="P172" s="350"/>
      <c r="Q172" s="352"/>
      <c r="R172" s="350"/>
      <c r="S172" s="350"/>
      <c r="T172" s="350"/>
      <c r="U172" s="350"/>
    </row>
    <row r="173" spans="1:21">
      <c r="A173" s="925"/>
      <c r="B173" s="925"/>
      <c r="C173" s="350"/>
      <c r="D173" s="350"/>
      <c r="E173" s="350"/>
      <c r="F173" s="350"/>
      <c r="G173" s="350"/>
      <c r="H173" s="350"/>
      <c r="I173" s="350"/>
      <c r="J173" s="351"/>
      <c r="K173" s="351"/>
      <c r="L173" s="350"/>
      <c r="M173" s="350"/>
      <c r="N173" s="350"/>
      <c r="O173" s="350"/>
      <c r="P173" s="350"/>
      <c r="Q173" s="352"/>
      <c r="R173" s="350"/>
      <c r="S173" s="350"/>
      <c r="T173" s="350"/>
      <c r="U173" s="350"/>
    </row>
    <row r="174" spans="1:21">
      <c r="A174" s="925"/>
      <c r="B174" s="925"/>
      <c r="C174" s="350"/>
      <c r="D174" s="350"/>
      <c r="E174" s="350"/>
      <c r="F174" s="350"/>
      <c r="G174" s="350"/>
      <c r="H174" s="350"/>
      <c r="I174" s="350"/>
      <c r="J174" s="351"/>
      <c r="K174" s="351"/>
      <c r="L174" s="350"/>
      <c r="M174" s="350"/>
      <c r="N174" s="350"/>
      <c r="O174" s="350"/>
      <c r="P174" s="350"/>
      <c r="Q174" s="352"/>
      <c r="R174" s="350"/>
      <c r="S174" s="350"/>
      <c r="T174" s="350"/>
      <c r="U174" s="350"/>
    </row>
    <row r="175" spans="1:21">
      <c r="A175" s="925"/>
      <c r="B175" s="925"/>
      <c r="C175" s="350"/>
      <c r="D175" s="350"/>
      <c r="E175" s="350"/>
      <c r="F175" s="350"/>
      <c r="G175" s="350"/>
      <c r="H175" s="350"/>
      <c r="I175" s="350"/>
      <c r="J175" s="351"/>
      <c r="K175" s="351"/>
      <c r="L175" s="350"/>
      <c r="M175" s="350"/>
      <c r="N175" s="350"/>
      <c r="O175" s="350"/>
      <c r="P175" s="350"/>
      <c r="Q175" s="352"/>
      <c r="R175" s="350"/>
      <c r="S175" s="350"/>
      <c r="T175" s="350"/>
      <c r="U175" s="350"/>
    </row>
    <row r="176" spans="1:21">
      <c r="A176" s="925"/>
      <c r="B176" s="925"/>
      <c r="C176" s="350"/>
      <c r="D176" s="350"/>
      <c r="E176" s="350"/>
      <c r="F176" s="350"/>
      <c r="G176" s="350"/>
      <c r="H176" s="350"/>
      <c r="I176" s="350"/>
      <c r="J176" s="351"/>
      <c r="K176" s="351"/>
      <c r="L176" s="350"/>
      <c r="M176" s="350"/>
      <c r="N176" s="350"/>
      <c r="O176" s="350"/>
      <c r="P176" s="350"/>
      <c r="Q176" s="352"/>
      <c r="R176" s="350"/>
      <c r="S176" s="350"/>
      <c r="T176" s="350"/>
      <c r="U176" s="350"/>
    </row>
    <row r="177" spans="1:21">
      <c r="A177" s="925"/>
      <c r="B177" s="925"/>
      <c r="C177" s="350"/>
      <c r="D177" s="350"/>
      <c r="E177" s="350"/>
      <c r="F177" s="350"/>
      <c r="G177" s="350"/>
      <c r="H177" s="350"/>
      <c r="I177" s="350"/>
      <c r="J177" s="351"/>
      <c r="K177" s="351"/>
      <c r="L177" s="350"/>
      <c r="M177" s="350"/>
      <c r="N177" s="350"/>
      <c r="O177" s="350"/>
      <c r="P177" s="350"/>
      <c r="Q177" s="352"/>
      <c r="R177" s="350"/>
      <c r="S177" s="350"/>
      <c r="T177" s="350"/>
      <c r="U177" s="350"/>
    </row>
    <row r="178" spans="1:21">
      <c r="A178" s="925"/>
      <c r="B178" s="925"/>
      <c r="C178" s="350"/>
      <c r="D178" s="350"/>
      <c r="E178" s="350"/>
      <c r="F178" s="350"/>
      <c r="G178" s="350"/>
      <c r="H178" s="350"/>
      <c r="I178" s="350"/>
      <c r="J178" s="351"/>
      <c r="K178" s="351"/>
      <c r="L178" s="350"/>
      <c r="M178" s="350"/>
      <c r="N178" s="350"/>
      <c r="O178" s="350"/>
      <c r="P178" s="350"/>
      <c r="Q178" s="352"/>
      <c r="R178" s="350"/>
      <c r="S178" s="350"/>
      <c r="T178" s="350"/>
      <c r="U178" s="350"/>
    </row>
    <row r="179" spans="1:21">
      <c r="A179" s="925"/>
      <c r="B179" s="925"/>
      <c r="C179" s="350"/>
      <c r="D179" s="350"/>
      <c r="E179" s="350"/>
      <c r="F179" s="350"/>
      <c r="G179" s="350"/>
      <c r="H179" s="350"/>
      <c r="I179" s="350"/>
      <c r="J179" s="351"/>
      <c r="K179" s="351"/>
      <c r="L179" s="350"/>
      <c r="M179" s="350"/>
      <c r="N179" s="350"/>
      <c r="O179" s="350"/>
      <c r="P179" s="350"/>
      <c r="Q179" s="352"/>
      <c r="R179" s="350"/>
      <c r="S179" s="350"/>
      <c r="T179" s="350"/>
      <c r="U179" s="350"/>
    </row>
    <row r="180" spans="1:21">
      <c r="A180" s="925"/>
      <c r="B180" s="925"/>
      <c r="C180" s="350"/>
      <c r="D180" s="350"/>
      <c r="E180" s="350"/>
      <c r="F180" s="350"/>
      <c r="G180" s="350"/>
      <c r="H180" s="350"/>
      <c r="I180" s="350"/>
      <c r="J180" s="351"/>
      <c r="K180" s="351"/>
      <c r="L180" s="350"/>
      <c r="M180" s="350"/>
      <c r="N180" s="350"/>
      <c r="O180" s="350"/>
      <c r="P180" s="350"/>
      <c r="Q180" s="352"/>
      <c r="R180" s="350"/>
      <c r="S180" s="350"/>
      <c r="T180" s="350"/>
      <c r="U180" s="350"/>
    </row>
    <row r="181" spans="1:21">
      <c r="A181" s="925"/>
      <c r="B181" s="925"/>
      <c r="C181" s="350"/>
      <c r="D181" s="350"/>
      <c r="E181" s="350"/>
      <c r="F181" s="350"/>
      <c r="G181" s="350"/>
      <c r="H181" s="350"/>
      <c r="I181" s="350"/>
      <c r="J181" s="351"/>
      <c r="K181" s="351"/>
      <c r="L181" s="350"/>
      <c r="M181" s="350"/>
      <c r="N181" s="350"/>
      <c r="O181" s="350"/>
      <c r="P181" s="350"/>
      <c r="Q181" s="352"/>
      <c r="R181" s="350"/>
      <c r="S181" s="350"/>
      <c r="T181" s="350"/>
      <c r="U181" s="350"/>
    </row>
    <row r="182" spans="1:21">
      <c r="A182" s="925"/>
      <c r="B182" s="925"/>
      <c r="C182" s="350"/>
      <c r="D182" s="350"/>
      <c r="E182" s="350"/>
      <c r="F182" s="350"/>
      <c r="G182" s="350"/>
      <c r="H182" s="350"/>
      <c r="I182" s="350"/>
      <c r="J182" s="351"/>
      <c r="K182" s="351"/>
      <c r="L182" s="350"/>
      <c r="M182" s="350"/>
      <c r="N182" s="350"/>
      <c r="O182" s="350"/>
      <c r="P182" s="350"/>
      <c r="Q182" s="352"/>
      <c r="R182" s="350"/>
      <c r="S182" s="350"/>
      <c r="T182" s="350"/>
      <c r="U182" s="350"/>
    </row>
    <row r="183" spans="1:21">
      <c r="A183" s="925"/>
      <c r="B183" s="925"/>
      <c r="C183" s="350"/>
      <c r="D183" s="350"/>
      <c r="E183" s="350"/>
      <c r="F183" s="350"/>
      <c r="G183" s="350"/>
      <c r="H183" s="350"/>
      <c r="I183" s="350"/>
      <c r="J183" s="351"/>
      <c r="K183" s="351"/>
      <c r="L183" s="350"/>
      <c r="M183" s="350"/>
      <c r="N183" s="350"/>
      <c r="O183" s="350"/>
      <c r="P183" s="350"/>
      <c r="Q183" s="352"/>
      <c r="R183" s="350"/>
      <c r="S183" s="350"/>
      <c r="T183" s="350"/>
      <c r="U183" s="350"/>
    </row>
    <row r="184" spans="1:21">
      <c r="A184" s="925"/>
      <c r="B184" s="925"/>
      <c r="C184" s="350"/>
      <c r="D184" s="350"/>
      <c r="E184" s="350"/>
      <c r="F184" s="350"/>
      <c r="G184" s="350"/>
      <c r="H184" s="350"/>
      <c r="I184" s="350"/>
      <c r="J184" s="351"/>
      <c r="K184" s="351"/>
      <c r="L184" s="350"/>
      <c r="M184" s="350"/>
      <c r="N184" s="350"/>
      <c r="O184" s="350"/>
      <c r="P184" s="350"/>
      <c r="Q184" s="352"/>
      <c r="R184" s="350"/>
      <c r="S184" s="350"/>
      <c r="T184" s="350"/>
      <c r="U184" s="350"/>
    </row>
    <row r="185" spans="1:21">
      <c r="A185" s="925"/>
      <c r="B185" s="925"/>
      <c r="C185" s="350"/>
      <c r="D185" s="350"/>
      <c r="E185" s="350"/>
      <c r="F185" s="350"/>
      <c r="G185" s="350"/>
      <c r="H185" s="350"/>
      <c r="I185" s="350"/>
      <c r="J185" s="351"/>
      <c r="K185" s="351"/>
      <c r="L185" s="350"/>
      <c r="M185" s="350"/>
      <c r="N185" s="350"/>
      <c r="O185" s="350"/>
      <c r="P185" s="350"/>
      <c r="Q185" s="352"/>
      <c r="R185" s="350"/>
      <c r="S185" s="350"/>
      <c r="T185" s="350"/>
      <c r="U185" s="350"/>
    </row>
    <row r="186" spans="1:21">
      <c r="A186" s="925"/>
      <c r="B186" s="925"/>
      <c r="C186" s="350"/>
      <c r="D186" s="350"/>
      <c r="E186" s="350"/>
      <c r="F186" s="350"/>
      <c r="G186" s="350"/>
      <c r="H186" s="350"/>
      <c r="I186" s="350"/>
      <c r="J186" s="351"/>
      <c r="K186" s="351"/>
      <c r="L186" s="350"/>
      <c r="M186" s="350"/>
      <c r="N186" s="350"/>
      <c r="O186" s="350"/>
      <c r="P186" s="350"/>
      <c r="Q186" s="352"/>
      <c r="R186" s="350"/>
      <c r="S186" s="350"/>
      <c r="T186" s="350"/>
      <c r="U186" s="350"/>
    </row>
    <row r="187" spans="1:21">
      <c r="A187" s="925"/>
      <c r="B187" s="925"/>
      <c r="C187" s="350"/>
      <c r="D187" s="350"/>
      <c r="E187" s="350"/>
      <c r="F187" s="350"/>
      <c r="G187" s="350"/>
      <c r="H187" s="350"/>
      <c r="I187" s="350"/>
      <c r="J187" s="351"/>
      <c r="K187" s="351"/>
      <c r="L187" s="350"/>
      <c r="M187" s="350"/>
      <c r="N187" s="350"/>
      <c r="O187" s="350"/>
      <c r="P187" s="350"/>
      <c r="Q187" s="352"/>
      <c r="R187" s="350"/>
      <c r="S187" s="350"/>
      <c r="T187" s="350"/>
      <c r="U187" s="350"/>
    </row>
    <row r="188" spans="1:21">
      <c r="A188" s="925"/>
      <c r="B188" s="925"/>
      <c r="C188" s="350"/>
      <c r="D188" s="350"/>
      <c r="E188" s="350"/>
      <c r="F188" s="350"/>
      <c r="G188" s="350"/>
      <c r="H188" s="350"/>
      <c r="I188" s="350"/>
      <c r="J188" s="351"/>
      <c r="K188" s="351"/>
      <c r="L188" s="350"/>
      <c r="M188" s="350"/>
      <c r="N188" s="350"/>
      <c r="O188" s="350"/>
      <c r="P188" s="350"/>
      <c r="Q188" s="394"/>
      <c r="R188" s="350"/>
      <c r="S188" s="350"/>
      <c r="T188" s="350"/>
      <c r="U188" s="350"/>
    </row>
    <row r="189" spans="1:21">
      <c r="A189" s="925"/>
      <c r="B189" s="925"/>
      <c r="C189" s="350"/>
      <c r="D189" s="350"/>
      <c r="E189" s="350"/>
      <c r="F189" s="350"/>
      <c r="G189" s="350"/>
      <c r="H189" s="350"/>
      <c r="I189" s="350"/>
      <c r="J189" s="351"/>
      <c r="K189" s="351"/>
      <c r="L189" s="350"/>
      <c r="M189" s="350"/>
      <c r="N189" s="350"/>
      <c r="O189" s="350"/>
      <c r="P189" s="350"/>
      <c r="Q189" s="352"/>
      <c r="R189" s="350"/>
      <c r="S189" s="350"/>
      <c r="T189" s="350"/>
      <c r="U189" s="350"/>
    </row>
  </sheetData>
  <sheetProtection algorithmName="SHA-512" hashValue="EJHstaCtLiJbUKR/XCMQ5mNiHPlB9zM5zdDTxV2+P/u45hWqFTDXXVfZcL9owqjm2gTu+VLudbn8S5YNniqO8A==" saltValue="jdiyvt+CBkn873coiQp2cg==" spinCount="100000" sheet="1" objects="1" scenarios="1"/>
  <mergeCells count="173">
    <mergeCell ref="A3:B3"/>
    <mergeCell ref="A5:B5"/>
    <mergeCell ref="C6:D6"/>
    <mergeCell ref="E6:F6"/>
    <mergeCell ref="G6:H6"/>
    <mergeCell ref="I6:J6"/>
    <mergeCell ref="A26:B26"/>
    <mergeCell ref="B28:R28"/>
    <mergeCell ref="B29:O29"/>
    <mergeCell ref="B30:R30"/>
    <mergeCell ref="B31:O31"/>
    <mergeCell ref="K6:L6"/>
    <mergeCell ref="A11:B11"/>
    <mergeCell ref="A17:B17"/>
    <mergeCell ref="C18:E18"/>
    <mergeCell ref="F18:H18"/>
    <mergeCell ref="I18:K18"/>
    <mergeCell ref="L18:N18"/>
    <mergeCell ref="O18:Q18"/>
    <mergeCell ref="B42:O42"/>
    <mergeCell ref="B43:O43"/>
    <mergeCell ref="B44:O44"/>
    <mergeCell ref="A45:B45"/>
    <mergeCell ref="A46:B46"/>
    <mergeCell ref="A47:B47"/>
    <mergeCell ref="B32:R32"/>
    <mergeCell ref="B33:O33"/>
    <mergeCell ref="A34:B34"/>
    <mergeCell ref="A36:B36"/>
    <mergeCell ref="A40:B40"/>
    <mergeCell ref="B41:O41"/>
    <mergeCell ref="A54:B54"/>
    <mergeCell ref="A55:B55"/>
    <mergeCell ref="A56:B56"/>
    <mergeCell ref="A57:B57"/>
    <mergeCell ref="A58:B58"/>
    <mergeCell ref="A59:B59"/>
    <mergeCell ref="B48:I48"/>
    <mergeCell ref="A49:B49"/>
    <mergeCell ref="A50:B50"/>
    <mergeCell ref="A51:B51"/>
    <mergeCell ref="A52:B52"/>
    <mergeCell ref="A53:B53"/>
    <mergeCell ref="A66:B66"/>
    <mergeCell ref="A67:B67"/>
    <mergeCell ref="A68:B68"/>
    <mergeCell ref="A69:B69"/>
    <mergeCell ref="A70:B70"/>
    <mergeCell ref="A71:B71"/>
    <mergeCell ref="A60:B60"/>
    <mergeCell ref="A61:B61"/>
    <mergeCell ref="A62:B62"/>
    <mergeCell ref="A63:B63"/>
    <mergeCell ref="A64:B64"/>
    <mergeCell ref="A65:B65"/>
    <mergeCell ref="A78:B78"/>
    <mergeCell ref="A79:B79"/>
    <mergeCell ref="A80:B80"/>
    <mergeCell ref="A81:B81"/>
    <mergeCell ref="A82:B82"/>
    <mergeCell ref="A83:B83"/>
    <mergeCell ref="A72:B72"/>
    <mergeCell ref="A73:B73"/>
    <mergeCell ref="A74:B74"/>
    <mergeCell ref="A75:B75"/>
    <mergeCell ref="A76:B76"/>
    <mergeCell ref="A77:B77"/>
    <mergeCell ref="A90:B90"/>
    <mergeCell ref="A91:B91"/>
    <mergeCell ref="A92:B92"/>
    <mergeCell ref="A93:B93"/>
    <mergeCell ref="A94:B94"/>
    <mergeCell ref="A95:B95"/>
    <mergeCell ref="A84:B84"/>
    <mergeCell ref="A85:B85"/>
    <mergeCell ref="A86:B86"/>
    <mergeCell ref="A87:B87"/>
    <mergeCell ref="A88:B88"/>
    <mergeCell ref="A89:B89"/>
    <mergeCell ref="A102:B102"/>
    <mergeCell ref="A103:B103"/>
    <mergeCell ref="A104:B104"/>
    <mergeCell ref="A105:B105"/>
    <mergeCell ref="A106:B106"/>
    <mergeCell ref="A107:B107"/>
    <mergeCell ref="A96:B96"/>
    <mergeCell ref="A97:B97"/>
    <mergeCell ref="A98:B98"/>
    <mergeCell ref="A99:B99"/>
    <mergeCell ref="A100:B100"/>
    <mergeCell ref="A101:B101"/>
    <mergeCell ref="A114:B114"/>
    <mergeCell ref="A115:B115"/>
    <mergeCell ref="A116:B116"/>
    <mergeCell ref="A117:B117"/>
    <mergeCell ref="A118:B118"/>
    <mergeCell ref="A119:B119"/>
    <mergeCell ref="A108:B108"/>
    <mergeCell ref="A109:B109"/>
    <mergeCell ref="A110:B110"/>
    <mergeCell ref="A111:B111"/>
    <mergeCell ref="A112:B112"/>
    <mergeCell ref="A113:B113"/>
    <mergeCell ref="A126:B126"/>
    <mergeCell ref="A127:B127"/>
    <mergeCell ref="A128:B128"/>
    <mergeCell ref="A129:B129"/>
    <mergeCell ref="A130:B130"/>
    <mergeCell ref="A131:B131"/>
    <mergeCell ref="A120:B120"/>
    <mergeCell ref="A121:B121"/>
    <mergeCell ref="A122:B122"/>
    <mergeCell ref="A123:B123"/>
    <mergeCell ref="A124:B124"/>
    <mergeCell ref="A125:B125"/>
    <mergeCell ref="A138:B138"/>
    <mergeCell ref="A139:B139"/>
    <mergeCell ref="A140:B140"/>
    <mergeCell ref="A141:B141"/>
    <mergeCell ref="A142:B142"/>
    <mergeCell ref="A143:B143"/>
    <mergeCell ref="A132:B132"/>
    <mergeCell ref="A133:B133"/>
    <mergeCell ref="A134:B134"/>
    <mergeCell ref="A135:B135"/>
    <mergeCell ref="A136:B136"/>
    <mergeCell ref="A137:B137"/>
    <mergeCell ref="A150:B150"/>
    <mergeCell ref="A151:B151"/>
    <mergeCell ref="A152:B152"/>
    <mergeCell ref="A153:B153"/>
    <mergeCell ref="A154:B154"/>
    <mergeCell ref="A155:B155"/>
    <mergeCell ref="A144:B144"/>
    <mergeCell ref="A145:B145"/>
    <mergeCell ref="A146:B146"/>
    <mergeCell ref="A147:B147"/>
    <mergeCell ref="A148:B148"/>
    <mergeCell ref="A149:B149"/>
    <mergeCell ref="A162:B162"/>
    <mergeCell ref="A163:B163"/>
    <mergeCell ref="A164:B164"/>
    <mergeCell ref="A165:B165"/>
    <mergeCell ref="A166:B166"/>
    <mergeCell ref="A167:B167"/>
    <mergeCell ref="A156:B156"/>
    <mergeCell ref="A157:B157"/>
    <mergeCell ref="A158:B158"/>
    <mergeCell ref="A159:B159"/>
    <mergeCell ref="A160:B160"/>
    <mergeCell ref="A161:B161"/>
    <mergeCell ref="A174:B174"/>
    <mergeCell ref="A175:B175"/>
    <mergeCell ref="A176:B176"/>
    <mergeCell ref="A177:B177"/>
    <mergeCell ref="A178:B178"/>
    <mergeCell ref="A179:B179"/>
    <mergeCell ref="A168:B168"/>
    <mergeCell ref="A169:B169"/>
    <mergeCell ref="A170:B170"/>
    <mergeCell ref="A171:B171"/>
    <mergeCell ref="A172:B172"/>
    <mergeCell ref="A173:B173"/>
    <mergeCell ref="A186:B186"/>
    <mergeCell ref="A187:B187"/>
    <mergeCell ref="A188:B188"/>
    <mergeCell ref="A189:B189"/>
    <mergeCell ref="A180:B180"/>
    <mergeCell ref="A181:B181"/>
    <mergeCell ref="A182:B182"/>
    <mergeCell ref="A183:B183"/>
    <mergeCell ref="A184:B184"/>
    <mergeCell ref="A185:B185"/>
  </mergeCells>
  <hyperlinks>
    <hyperlink ref="A1" location="'Data Pack Overview'!A1" display="'Data Pack Overview'!A1" xr:uid="{5BABEF66-7BC4-4CB2-B632-B1671F16DE12}"/>
  </hyperlinks>
  <pageMargins left="0.7" right="0.7" top="0.75" bottom="0.75"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A249F-4143-473B-B083-BFC0B4368AF5}">
  <sheetPr>
    <tabColor theme="3"/>
  </sheetPr>
  <dimension ref="A1:G16"/>
  <sheetViews>
    <sheetView showGridLines="0" zoomScale="110" zoomScaleNormal="110" workbookViewId="0">
      <selection activeCell="C4" sqref="C4"/>
    </sheetView>
  </sheetViews>
  <sheetFormatPr defaultRowHeight="14.4"/>
  <cols>
    <col min="1" max="1" width="3.5546875" customWidth="1"/>
    <col min="2" max="2" width="21.33203125" customWidth="1"/>
    <col min="3" max="3" width="20.6640625" customWidth="1"/>
    <col min="4" max="4" width="29.5546875" customWidth="1"/>
    <col min="5" max="5" width="51.33203125" customWidth="1"/>
    <col min="6" max="6" width="8.33203125" customWidth="1"/>
    <col min="7" max="7" width="135.44140625" customWidth="1"/>
  </cols>
  <sheetData>
    <row r="1" spans="1:7">
      <c r="A1" s="18" t="s">
        <v>32</v>
      </c>
    </row>
    <row r="2" spans="1:7" ht="21">
      <c r="B2" s="19" t="s">
        <v>1396</v>
      </c>
      <c r="C2" s="396"/>
    </row>
    <row r="3" spans="1:7" ht="12" customHeight="1">
      <c r="B3" s="19"/>
      <c r="C3" s="396"/>
      <c r="F3" s="21" t="s">
        <v>434</v>
      </c>
      <c r="G3" s="22" t="s">
        <v>435</v>
      </c>
    </row>
    <row r="4" spans="1:7" ht="15">
      <c r="F4" s="23" t="s">
        <v>434</v>
      </c>
      <c r="G4" s="22" t="s">
        <v>436</v>
      </c>
    </row>
    <row r="5" spans="1:7" ht="15">
      <c r="B5" s="541"/>
      <c r="F5" s="24" t="s">
        <v>434</v>
      </c>
      <c r="G5" s="22" t="s">
        <v>438</v>
      </c>
    </row>
    <row r="6" spans="1:7" ht="15.6">
      <c r="B6" s="20" t="s">
        <v>1397</v>
      </c>
      <c r="C6" s="397"/>
      <c r="E6" s="398"/>
    </row>
    <row r="8" spans="1:7">
      <c r="B8" s="25" t="s">
        <v>1193</v>
      </c>
      <c r="C8" s="25" t="s">
        <v>440</v>
      </c>
      <c r="D8" s="25" t="s">
        <v>441</v>
      </c>
      <c r="E8" s="25" t="s">
        <v>442</v>
      </c>
      <c r="F8" s="26" t="s">
        <v>443</v>
      </c>
      <c r="G8" s="26" t="s">
        <v>1398</v>
      </c>
    </row>
    <row r="9" spans="1:7">
      <c r="B9" s="27" t="s">
        <v>1399</v>
      </c>
      <c r="C9" s="399"/>
      <c r="D9" s="400"/>
      <c r="E9" s="400"/>
      <c r="F9" s="401"/>
      <c r="G9" s="401"/>
    </row>
    <row r="10" spans="1:7" ht="67.349999999999994" customHeight="1">
      <c r="B10" s="936" t="s">
        <v>1400</v>
      </c>
      <c r="C10" s="863" t="s">
        <v>326</v>
      </c>
      <c r="D10" s="33" t="s">
        <v>1401</v>
      </c>
      <c r="E10" s="402" t="s">
        <v>1402</v>
      </c>
      <c r="F10" s="403" t="s">
        <v>434</v>
      </c>
      <c r="G10" s="197" t="s">
        <v>1403</v>
      </c>
    </row>
    <row r="11" spans="1:7" ht="35.1" customHeight="1">
      <c r="B11" s="936"/>
      <c r="C11" s="865"/>
      <c r="D11" s="603" t="s">
        <v>1404</v>
      </c>
      <c r="E11" s="197" t="s">
        <v>1405</v>
      </c>
      <c r="F11" s="404" t="s">
        <v>434</v>
      </c>
      <c r="G11" s="197" t="s">
        <v>1406</v>
      </c>
    </row>
    <row r="12" spans="1:7" ht="38.1" customHeight="1">
      <c r="B12" s="32" t="s">
        <v>1407</v>
      </c>
      <c r="C12" s="32" t="s">
        <v>326</v>
      </c>
      <c r="D12" s="405" t="s">
        <v>1408</v>
      </c>
      <c r="E12" s="406" t="s">
        <v>1409</v>
      </c>
      <c r="F12" s="404" t="s">
        <v>434</v>
      </c>
      <c r="G12" s="197" t="s">
        <v>1410</v>
      </c>
    </row>
    <row r="13" spans="1:7" ht="95.1" customHeight="1">
      <c r="B13" s="937" t="s">
        <v>1411</v>
      </c>
      <c r="C13" s="32" t="s">
        <v>1412</v>
      </c>
      <c r="D13" s="405" t="s">
        <v>1413</v>
      </c>
      <c r="E13" s="407" t="s">
        <v>1414</v>
      </c>
      <c r="F13" s="404" t="s">
        <v>434</v>
      </c>
      <c r="G13" s="197" t="s">
        <v>1415</v>
      </c>
    </row>
    <row r="14" spans="1:7" ht="60.6" customHeight="1">
      <c r="B14" s="938"/>
      <c r="C14" s="32" t="s">
        <v>1416</v>
      </c>
      <c r="D14" s="405" t="s">
        <v>1417</v>
      </c>
      <c r="E14" s="408" t="s">
        <v>1418</v>
      </c>
      <c r="F14" s="542" t="s">
        <v>434</v>
      </c>
      <c r="G14" s="197" t="s">
        <v>1419</v>
      </c>
    </row>
    <row r="16" spans="1:7">
      <c r="B16" s="544" t="s">
        <v>1420</v>
      </c>
    </row>
  </sheetData>
  <sheetProtection algorithmName="SHA-512" hashValue="JwasbXbpcF8fYRSs1qq99Vjjc8uYgzrBqw8ukLZcpbqiQzv43n0zkQzXDM9VfBti6/kb5tDUoUBlvgHXMfntaw==" saltValue="kuQLSBlosxjKHMS/PWpC/A==" spinCount="100000" sheet="1" objects="1" scenarios="1"/>
  <mergeCells count="3">
    <mergeCell ref="B10:B11"/>
    <mergeCell ref="C10:C11"/>
    <mergeCell ref="B13:B14"/>
  </mergeCells>
  <hyperlinks>
    <hyperlink ref="A1" location="'Data Pack Overview'!A1" display="H" xr:uid="{045B113C-FB00-462D-8E08-49609810B0D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7002A-2BA6-47F9-B640-B428C710A5BF}">
  <sheetPr>
    <tabColor rgb="FF00B0F0"/>
  </sheetPr>
  <dimension ref="A1:P45"/>
  <sheetViews>
    <sheetView showGridLines="0" zoomScale="130" zoomScaleNormal="130" workbookViewId="0">
      <selection activeCell="I38" sqref="I38"/>
    </sheetView>
  </sheetViews>
  <sheetFormatPr defaultRowHeight="14.4"/>
  <cols>
    <col min="1" max="1" width="2.44140625" customWidth="1"/>
    <col min="2" max="2" width="49.5546875" customWidth="1"/>
    <col min="3" max="3" width="8.6640625" style="556" customWidth="1"/>
    <col min="4" max="6" width="8.44140625" customWidth="1"/>
    <col min="7" max="7" width="7.6640625" customWidth="1"/>
    <col min="8" max="8" width="8.44140625" hidden="1" customWidth="1"/>
    <col min="9" max="9" width="8.44140625" customWidth="1"/>
  </cols>
  <sheetData>
    <row r="1" spans="1:16">
      <c r="A1" s="18" t="s">
        <v>32</v>
      </c>
      <c r="B1" s="409"/>
      <c r="C1" s="549"/>
      <c r="D1" s="409"/>
      <c r="E1" s="38"/>
      <c r="F1" s="38"/>
      <c r="G1" s="410"/>
      <c r="H1" s="410"/>
      <c r="I1" s="38"/>
      <c r="J1" s="38"/>
      <c r="K1" s="38"/>
      <c r="L1" s="38"/>
      <c r="M1" s="38"/>
      <c r="N1" s="38"/>
      <c r="O1" s="38"/>
      <c r="P1" s="38"/>
    </row>
    <row r="2" spans="1:16" ht="21">
      <c r="A2" s="38"/>
      <c r="B2" s="39" t="s">
        <v>1396</v>
      </c>
      <c r="C2" s="550"/>
      <c r="D2" s="39"/>
      <c r="E2" s="38"/>
      <c r="F2" s="38"/>
      <c r="G2" s="410"/>
      <c r="H2" s="410"/>
      <c r="I2" s="38"/>
      <c r="J2" s="38"/>
      <c r="K2" s="38"/>
      <c r="L2" s="38"/>
      <c r="M2" s="38"/>
      <c r="N2" s="38"/>
      <c r="O2" s="38"/>
      <c r="P2" s="38"/>
    </row>
    <row r="3" spans="1:16" ht="21">
      <c r="A3" s="38"/>
      <c r="B3" s="39"/>
      <c r="C3" s="550"/>
      <c r="D3" s="39"/>
      <c r="E3" s="38"/>
      <c r="F3" s="38"/>
      <c r="G3" s="410"/>
      <c r="H3" s="410"/>
      <c r="I3" s="38"/>
      <c r="J3" s="38"/>
      <c r="K3" s="38"/>
      <c r="L3" s="38"/>
      <c r="M3" s="38"/>
      <c r="N3" s="38"/>
      <c r="O3" s="38"/>
      <c r="P3" s="38"/>
    </row>
    <row r="4" spans="1:16" ht="15.6">
      <c r="A4" s="38"/>
      <c r="B4" s="89" t="s">
        <v>420</v>
      </c>
      <c r="C4" s="551"/>
      <c r="D4" s="89"/>
      <c r="E4" s="410"/>
      <c r="F4" s="410"/>
      <c r="G4" s="410"/>
      <c r="H4" s="410"/>
      <c r="I4" s="38"/>
      <c r="J4" s="38"/>
      <c r="K4" s="38"/>
      <c r="L4" s="38"/>
      <c r="M4" s="38"/>
      <c r="N4" s="38"/>
      <c r="O4" s="38"/>
      <c r="P4" s="38"/>
    </row>
    <row r="5" spans="1:16">
      <c r="A5" s="38"/>
      <c r="B5" s="409"/>
      <c r="C5"/>
      <c r="D5" s="409"/>
      <c r="E5" s="410"/>
      <c r="F5" s="410"/>
      <c r="G5" s="410"/>
      <c r="H5" s="410"/>
      <c r="I5" s="38"/>
      <c r="J5" s="38"/>
      <c r="K5" s="38"/>
      <c r="L5" s="38"/>
      <c r="M5" s="38"/>
      <c r="N5" s="38"/>
      <c r="O5" s="38"/>
      <c r="P5" s="38"/>
    </row>
    <row r="6" spans="1:16">
      <c r="A6" s="38"/>
      <c r="B6" s="411"/>
      <c r="C6" s="43" t="s">
        <v>39</v>
      </c>
      <c r="D6" s="43" t="s">
        <v>40</v>
      </c>
      <c r="E6" s="43" t="s">
        <v>41</v>
      </c>
      <c r="F6" s="43" t="s">
        <v>42</v>
      </c>
      <c r="G6" s="43" t="s">
        <v>43</v>
      </c>
      <c r="H6" s="43" t="s">
        <v>96</v>
      </c>
      <c r="I6" s="38"/>
      <c r="J6" s="38"/>
      <c r="K6" s="38"/>
      <c r="L6" s="38"/>
      <c r="M6" s="38"/>
      <c r="N6" s="38"/>
      <c r="O6" s="38"/>
      <c r="P6" s="38"/>
    </row>
    <row r="7" spans="1:16">
      <c r="A7" s="38"/>
      <c r="B7" s="412" t="s">
        <v>1421</v>
      </c>
      <c r="C7" s="547"/>
      <c r="D7" s="413"/>
      <c r="E7" s="413"/>
      <c r="F7" s="413"/>
      <c r="G7" s="413"/>
      <c r="H7" s="414"/>
      <c r="I7" s="38"/>
      <c r="J7" s="38"/>
      <c r="K7" s="38"/>
      <c r="L7" s="38"/>
      <c r="M7" s="38"/>
      <c r="N7" s="38"/>
      <c r="O7" s="38"/>
      <c r="P7" s="38"/>
    </row>
    <row r="8" spans="1:16">
      <c r="A8" s="38"/>
      <c r="B8" s="415" t="s">
        <v>1422</v>
      </c>
      <c r="C8" s="781">
        <v>0.81399999999999995</v>
      </c>
      <c r="D8" s="117">
        <v>0.69599999999999995</v>
      </c>
      <c r="E8" s="136">
        <v>0.68</v>
      </c>
      <c r="F8" s="97">
        <v>0.81</v>
      </c>
      <c r="G8" s="97">
        <v>0.88</v>
      </c>
      <c r="H8" s="97">
        <v>0.82</v>
      </c>
      <c r="I8" s="38"/>
      <c r="J8" s="38"/>
      <c r="K8" s="416"/>
      <c r="L8" s="416"/>
      <c r="M8" s="416"/>
      <c r="N8" s="416"/>
      <c r="O8" s="416"/>
      <c r="P8" s="416"/>
    </row>
    <row r="9" spans="1:16">
      <c r="A9" s="38"/>
      <c r="B9" s="138" t="s">
        <v>1423</v>
      </c>
      <c r="C9" s="417">
        <v>0.7</v>
      </c>
      <c r="D9" s="417">
        <v>0.7</v>
      </c>
      <c r="E9" s="98">
        <v>0.75</v>
      </c>
      <c r="F9" s="98">
        <v>0.74</v>
      </c>
      <c r="G9" s="98">
        <v>0.74</v>
      </c>
      <c r="H9" s="98">
        <v>0.78</v>
      </c>
      <c r="I9" s="38"/>
      <c r="J9" s="38"/>
      <c r="K9" s="416"/>
      <c r="L9" s="416"/>
      <c r="M9" s="416"/>
      <c r="N9" s="416"/>
      <c r="O9" s="416"/>
      <c r="P9" s="416"/>
    </row>
    <row r="10" spans="1:16" ht="20.399999999999999">
      <c r="A10" s="38"/>
      <c r="B10" s="138" t="s">
        <v>1424</v>
      </c>
      <c r="C10" s="417">
        <v>0.89</v>
      </c>
      <c r="D10" s="417">
        <v>0.91</v>
      </c>
      <c r="E10" s="98">
        <v>0.93</v>
      </c>
      <c r="F10" s="98">
        <v>0.91</v>
      </c>
      <c r="G10" s="98">
        <v>0.93</v>
      </c>
      <c r="H10" s="98">
        <v>0.93</v>
      </c>
      <c r="I10" s="38"/>
      <c r="J10" s="217"/>
      <c r="K10" s="38"/>
      <c r="L10" s="38"/>
      <c r="M10" s="38"/>
      <c r="N10" s="38"/>
      <c r="O10" s="38"/>
      <c r="P10" s="38"/>
    </row>
    <row r="11" spans="1:16">
      <c r="A11" s="38"/>
      <c r="B11" s="109" t="s">
        <v>1425</v>
      </c>
      <c r="C11" s="782">
        <v>0.78800000000000003</v>
      </c>
      <c r="D11" s="127">
        <v>0.77900000000000003</v>
      </c>
      <c r="E11" s="117">
        <v>0.79400000000000004</v>
      </c>
      <c r="F11" s="98">
        <v>0.78</v>
      </c>
      <c r="G11" s="98">
        <v>0.76</v>
      </c>
      <c r="H11" s="98">
        <v>0.77</v>
      </c>
      <c r="I11" s="38"/>
      <c r="J11" s="217"/>
      <c r="K11" s="38"/>
      <c r="L11" s="38"/>
      <c r="M11" s="38"/>
      <c r="N11" s="38"/>
      <c r="O11" s="38"/>
      <c r="P11" s="38"/>
    </row>
    <row r="12" spans="1:16">
      <c r="A12" s="38"/>
      <c r="B12" s="527" t="s">
        <v>330</v>
      </c>
      <c r="C12" s="548"/>
      <c r="D12" s="528"/>
      <c r="E12" s="528"/>
      <c r="F12" s="528"/>
      <c r="G12" s="528"/>
      <c r="H12" s="529"/>
      <c r="I12" s="38"/>
      <c r="J12" s="38"/>
      <c r="K12" s="38"/>
      <c r="L12" s="38"/>
      <c r="M12" s="38"/>
      <c r="N12" s="38"/>
      <c r="O12" s="38"/>
      <c r="P12" s="38"/>
    </row>
    <row r="13" spans="1:16" ht="27" customHeight="1">
      <c r="A13" s="38"/>
      <c r="B13" s="530" t="s">
        <v>1426</v>
      </c>
      <c r="C13" s="700"/>
      <c r="D13" s="698">
        <v>0.87</v>
      </c>
      <c r="E13" s="531">
        <v>0.87</v>
      </c>
      <c r="F13" s="532" t="s">
        <v>472</v>
      </c>
      <c r="G13" s="532" t="s">
        <v>472</v>
      </c>
      <c r="H13" s="532" t="s">
        <v>472</v>
      </c>
      <c r="I13" s="38"/>
      <c r="J13" s="38"/>
      <c r="K13" s="38"/>
      <c r="L13" s="38"/>
      <c r="M13" s="38"/>
      <c r="N13" s="38"/>
      <c r="O13" s="38"/>
      <c r="P13" s="38"/>
    </row>
    <row r="14" spans="1:16" ht="25.95" customHeight="1">
      <c r="A14" s="38"/>
      <c r="B14" s="530" t="s">
        <v>1427</v>
      </c>
      <c r="C14" s="700"/>
      <c r="D14" s="699">
        <v>0.91</v>
      </c>
      <c r="E14" s="532">
        <v>0.91</v>
      </c>
      <c r="F14" s="532">
        <v>0.92</v>
      </c>
      <c r="G14" s="532">
        <v>0.91</v>
      </c>
      <c r="H14" s="532" t="s">
        <v>472</v>
      </c>
      <c r="I14" s="38"/>
      <c r="J14" s="38"/>
      <c r="K14" s="416"/>
      <c r="L14" s="416"/>
      <c r="M14" s="416"/>
      <c r="N14" s="416"/>
      <c r="O14" s="416"/>
      <c r="P14" s="416"/>
    </row>
    <row r="15" spans="1:16">
      <c r="A15" s="38"/>
      <c r="B15" s="533" t="s">
        <v>1428</v>
      </c>
      <c r="C15" s="700"/>
      <c r="D15" s="534">
        <v>0.83299999999999996</v>
      </c>
      <c r="E15" s="535">
        <v>0.84399999999999997</v>
      </c>
      <c r="F15" s="532">
        <v>0.83</v>
      </c>
      <c r="G15" s="532">
        <v>0.83</v>
      </c>
      <c r="H15" s="532" t="s">
        <v>472</v>
      </c>
      <c r="I15" s="38"/>
      <c r="J15" s="38"/>
      <c r="K15" s="416"/>
      <c r="L15" s="416"/>
      <c r="M15" s="416"/>
      <c r="N15" s="416"/>
      <c r="O15" s="416"/>
      <c r="P15" s="416"/>
    </row>
    <row r="16" spans="1:16">
      <c r="A16" s="38"/>
      <c r="B16" s="316"/>
      <c r="C16" s="553"/>
      <c r="D16" s="316"/>
      <c r="E16" s="208"/>
      <c r="F16" s="208"/>
      <c r="G16" s="208"/>
      <c r="H16" s="208"/>
      <c r="I16" s="38"/>
      <c r="J16" s="38"/>
      <c r="K16" s="38"/>
      <c r="L16" s="38"/>
      <c r="M16" s="38"/>
      <c r="N16" s="38"/>
      <c r="O16" s="38"/>
      <c r="P16" s="38"/>
    </row>
    <row r="17" spans="1:16">
      <c r="A17" s="88"/>
      <c r="B17" s="940" t="s">
        <v>1429</v>
      </c>
      <c r="C17" s="940"/>
      <c r="D17" s="940"/>
      <c r="E17" s="940"/>
      <c r="F17" s="940"/>
      <c r="G17" s="940"/>
      <c r="H17" s="940"/>
      <c r="I17" s="88"/>
      <c r="J17" s="88"/>
      <c r="K17" s="88"/>
      <c r="L17" s="88"/>
      <c r="M17" s="88"/>
      <c r="N17" s="88"/>
      <c r="O17" s="88"/>
      <c r="P17" s="88"/>
    </row>
    <row r="18" spans="1:16" ht="23.1" customHeight="1">
      <c r="A18" s="88"/>
      <c r="B18" s="887" t="s">
        <v>1430</v>
      </c>
      <c r="C18" s="887"/>
      <c r="D18" s="887"/>
      <c r="E18" s="887"/>
      <c r="F18" s="887"/>
      <c r="G18" s="887"/>
      <c r="H18" s="887"/>
      <c r="I18" s="88"/>
      <c r="J18" s="88"/>
      <c r="K18" s="88"/>
      <c r="L18" s="88"/>
      <c r="M18" s="88"/>
      <c r="N18" s="88"/>
      <c r="O18" s="88"/>
      <c r="P18" s="88"/>
    </row>
    <row r="19" spans="1:16">
      <c r="A19" s="88"/>
      <c r="B19" s="940" t="s">
        <v>1431</v>
      </c>
      <c r="C19" s="940"/>
      <c r="D19" s="940"/>
      <c r="E19" s="940"/>
      <c r="F19" s="940"/>
      <c r="G19" s="940"/>
      <c r="H19" s="940"/>
      <c r="I19" s="88"/>
      <c r="J19" s="88"/>
      <c r="K19" s="88"/>
      <c r="L19" s="88"/>
      <c r="M19" s="88"/>
      <c r="N19" s="88"/>
      <c r="O19" s="88"/>
      <c r="P19" s="88"/>
    </row>
    <row r="20" spans="1:16">
      <c r="A20" s="88"/>
      <c r="B20" s="731" t="s">
        <v>1432</v>
      </c>
      <c r="C20" s="732"/>
      <c r="D20" s="731"/>
      <c r="E20" s="731"/>
      <c r="F20" s="731"/>
      <c r="G20" s="731"/>
      <c r="H20" s="536"/>
      <c r="I20" s="88"/>
      <c r="J20" s="88"/>
      <c r="K20" s="88"/>
      <c r="L20" s="88"/>
      <c r="M20" s="88"/>
      <c r="N20" s="88"/>
      <c r="O20" s="88"/>
      <c r="P20" s="88"/>
    </row>
    <row r="21" spans="1:16">
      <c r="A21" s="88"/>
      <c r="B21" s="537"/>
      <c r="C21" s="554"/>
      <c r="D21" s="537"/>
      <c r="E21" s="537"/>
      <c r="F21" s="537"/>
      <c r="G21" s="537"/>
      <c r="H21" s="537"/>
      <c r="I21" s="88"/>
      <c r="J21" s="88"/>
      <c r="K21" s="88"/>
      <c r="L21" s="88"/>
      <c r="M21" s="88"/>
      <c r="N21" s="88"/>
      <c r="O21" s="88"/>
      <c r="P21" s="88"/>
    </row>
    <row r="22" spans="1:16">
      <c r="A22" s="88"/>
      <c r="B22" s="537"/>
      <c r="C22" s="554"/>
      <c r="D22" s="537"/>
      <c r="E22" s="537"/>
      <c r="F22" s="537"/>
      <c r="G22" s="537"/>
      <c r="H22" s="537"/>
      <c r="I22" s="88"/>
      <c r="J22" s="88"/>
      <c r="K22" s="88"/>
      <c r="L22" s="88"/>
      <c r="M22" s="88"/>
      <c r="N22" s="88"/>
      <c r="O22" s="88"/>
      <c r="P22" s="88"/>
    </row>
    <row r="23" spans="1:16">
      <c r="A23" s="38"/>
      <c r="B23" s="409"/>
      <c r="C23" s="549"/>
      <c r="D23" s="409"/>
      <c r="E23" s="38"/>
      <c r="F23" s="38"/>
      <c r="G23" s="410"/>
      <c r="H23" s="410"/>
      <c r="I23" s="38"/>
      <c r="J23" s="38"/>
      <c r="K23" s="38"/>
      <c r="L23" s="38"/>
      <c r="M23" s="38"/>
      <c r="N23" s="38"/>
      <c r="O23" s="38"/>
      <c r="P23" s="38"/>
    </row>
    <row r="24" spans="1:16" ht="15.6">
      <c r="A24" s="38"/>
      <c r="B24" s="89" t="s">
        <v>326</v>
      </c>
      <c r="C24" s="551"/>
      <c r="D24" s="89"/>
      <c r="E24" s="300"/>
      <c r="F24" s="300"/>
      <c r="G24" s="300"/>
      <c r="H24" s="300"/>
      <c r="I24" s="38"/>
      <c r="J24" s="38"/>
      <c r="K24" s="38"/>
      <c r="L24" s="38"/>
      <c r="M24" s="38"/>
      <c r="N24" s="38"/>
      <c r="O24" s="38"/>
      <c r="P24" s="38"/>
    </row>
    <row r="25" spans="1:16">
      <c r="A25" s="38"/>
      <c r="B25" s="419"/>
      <c r="C25" s="555"/>
      <c r="D25" s="419"/>
      <c r="E25" s="300"/>
      <c r="F25" s="300"/>
      <c r="G25" s="300"/>
      <c r="H25" s="300"/>
      <c r="I25" s="38"/>
      <c r="J25" s="38"/>
      <c r="K25" s="38"/>
      <c r="L25" s="38"/>
      <c r="M25" s="38"/>
      <c r="N25" s="38"/>
      <c r="O25" s="38"/>
      <c r="P25" s="38"/>
    </row>
    <row r="26" spans="1:16">
      <c r="A26" s="38"/>
      <c r="B26" s="420"/>
      <c r="C26" s="62" t="s">
        <v>39</v>
      </c>
      <c r="D26" s="62" t="s">
        <v>40</v>
      </c>
      <c r="E26" s="62" t="s">
        <v>41</v>
      </c>
      <c r="F26" s="62" t="s">
        <v>42</v>
      </c>
      <c r="G26" s="62" t="s">
        <v>43</v>
      </c>
      <c r="H26" s="62" t="s">
        <v>96</v>
      </c>
      <c r="I26" s="38"/>
      <c r="J26" s="38"/>
      <c r="K26" s="38"/>
      <c r="L26" s="38"/>
      <c r="M26" s="38"/>
      <c r="N26" s="38"/>
      <c r="O26" s="38"/>
      <c r="P26" s="38"/>
    </row>
    <row r="27" spans="1:16">
      <c r="A27" s="38"/>
      <c r="B27" s="412" t="s">
        <v>1433</v>
      </c>
      <c r="C27" s="547"/>
      <c r="D27" s="413"/>
      <c r="E27" s="413"/>
      <c r="F27" s="413"/>
      <c r="G27" s="413"/>
      <c r="H27" s="414"/>
      <c r="I27" s="38"/>
      <c r="J27" s="38"/>
      <c r="K27" s="38"/>
      <c r="L27" s="38"/>
      <c r="M27" s="38"/>
      <c r="N27" s="38"/>
      <c r="O27" s="38"/>
      <c r="P27" s="38"/>
    </row>
    <row r="28" spans="1:16">
      <c r="A28" s="38"/>
      <c r="B28" s="109" t="s">
        <v>1434</v>
      </c>
      <c r="C28" s="98">
        <v>0.82</v>
      </c>
      <c r="D28" s="418">
        <v>0.8</v>
      </c>
      <c r="E28" s="98" t="s">
        <v>472</v>
      </c>
      <c r="F28" s="98" t="s">
        <v>472</v>
      </c>
      <c r="G28" s="98" t="s">
        <v>472</v>
      </c>
      <c r="H28" s="98" t="s">
        <v>472</v>
      </c>
      <c r="I28" s="221"/>
      <c r="J28" s="202"/>
      <c r="K28" s="38"/>
      <c r="L28" s="38"/>
      <c r="M28" s="38"/>
      <c r="N28" s="38"/>
      <c r="O28" s="38"/>
      <c r="P28" s="38"/>
    </row>
    <row r="29" spans="1:16">
      <c r="A29" s="38"/>
      <c r="B29" s="109" t="s">
        <v>1435</v>
      </c>
      <c r="C29" s="98">
        <v>0.83</v>
      </c>
      <c r="D29" s="421" t="s">
        <v>1436</v>
      </c>
      <c r="E29" s="98" t="s">
        <v>1437</v>
      </c>
      <c r="F29" s="98" t="s">
        <v>548</v>
      </c>
      <c r="G29" s="98" t="s">
        <v>1438</v>
      </c>
      <c r="H29" s="98" t="s">
        <v>1439</v>
      </c>
      <c r="I29" s="221"/>
      <c r="J29" s="202"/>
      <c r="K29" s="38"/>
      <c r="L29" s="38"/>
      <c r="M29" s="38"/>
      <c r="N29" s="38"/>
      <c r="O29" s="38"/>
      <c r="P29" s="38"/>
    </row>
    <row r="30" spans="1:16">
      <c r="A30" s="38"/>
      <c r="B30" s="412" t="s">
        <v>683</v>
      </c>
      <c r="C30" s="547"/>
      <c r="D30" s="413"/>
      <c r="E30" s="413"/>
      <c r="F30" s="413"/>
      <c r="G30" s="413"/>
      <c r="H30" s="414"/>
      <c r="I30" s="38"/>
      <c r="J30" s="38"/>
      <c r="K30" s="38"/>
      <c r="L30" s="38"/>
      <c r="M30" s="38"/>
      <c r="N30" s="38"/>
      <c r="O30" s="38"/>
      <c r="P30" s="38"/>
    </row>
    <row r="31" spans="1:16">
      <c r="A31" s="38"/>
      <c r="B31" s="138" t="s">
        <v>1440</v>
      </c>
      <c r="C31" s="117">
        <v>0.82499999999999996</v>
      </c>
      <c r="D31" s="117">
        <v>0.875</v>
      </c>
      <c r="E31" s="98">
        <v>0.75</v>
      </c>
      <c r="F31" s="127">
        <v>0.8</v>
      </c>
      <c r="G31" s="127">
        <v>0.82499999999999996</v>
      </c>
      <c r="H31" s="127">
        <v>0.72499999999999998</v>
      </c>
      <c r="I31" s="38"/>
      <c r="J31" s="38"/>
      <c r="K31" s="38"/>
      <c r="L31" s="38"/>
      <c r="M31" s="38"/>
      <c r="N31" s="38"/>
      <c r="O31" s="38"/>
      <c r="P31" s="38"/>
    </row>
    <row r="32" spans="1:16">
      <c r="A32" s="38"/>
      <c r="B32" s="138" t="s">
        <v>1441</v>
      </c>
      <c r="C32" s="117">
        <v>0.82099999999999995</v>
      </c>
      <c r="D32" s="117">
        <v>0.80100000000000005</v>
      </c>
      <c r="E32" s="98" t="s">
        <v>472</v>
      </c>
      <c r="F32" s="98" t="s">
        <v>472</v>
      </c>
      <c r="G32" s="98" t="s">
        <v>472</v>
      </c>
      <c r="H32" s="98" t="s">
        <v>472</v>
      </c>
      <c r="I32" s="38"/>
      <c r="J32" s="38"/>
      <c r="K32" s="38"/>
      <c r="L32" s="38"/>
      <c r="M32" s="38"/>
      <c r="N32" s="38"/>
      <c r="O32" s="38"/>
      <c r="P32" s="38"/>
    </row>
    <row r="33" spans="1:16">
      <c r="A33" s="38"/>
      <c r="B33" s="138" t="s">
        <v>1442</v>
      </c>
      <c r="C33" s="117">
        <v>0.83699999999999997</v>
      </c>
      <c r="D33" s="117">
        <v>0.82399999999999995</v>
      </c>
      <c r="E33" s="117">
        <v>0.81299999999999994</v>
      </c>
      <c r="F33" s="114">
        <v>0.8</v>
      </c>
      <c r="G33" s="114">
        <v>0.8</v>
      </c>
      <c r="H33" s="114">
        <v>0.76</v>
      </c>
      <c r="I33" s="38"/>
      <c r="J33" s="38"/>
      <c r="K33" s="38"/>
      <c r="L33" s="38"/>
      <c r="M33" s="38"/>
      <c r="N33" s="38"/>
      <c r="O33" s="38"/>
      <c r="P33" s="38"/>
    </row>
    <row r="34" spans="1:16">
      <c r="A34" s="38"/>
      <c r="B34" s="109" t="s">
        <v>1443</v>
      </c>
      <c r="C34" s="117">
        <v>0.86699999999999999</v>
      </c>
      <c r="D34" s="117">
        <v>0.871</v>
      </c>
      <c r="E34" s="117">
        <v>0.85599999999999998</v>
      </c>
      <c r="F34" s="114">
        <v>0.83</v>
      </c>
      <c r="G34" s="114">
        <v>0.82</v>
      </c>
      <c r="H34" s="114">
        <v>0.77</v>
      </c>
      <c r="I34" s="38"/>
      <c r="J34" s="38"/>
      <c r="K34" s="38"/>
      <c r="L34" s="38"/>
      <c r="M34" s="38"/>
      <c r="N34" s="38"/>
      <c r="O34" s="38"/>
      <c r="P34" s="38"/>
    </row>
    <row r="35" spans="1:16">
      <c r="A35" s="38"/>
      <c r="B35" s="419"/>
      <c r="C35" s="555"/>
      <c r="D35" s="419"/>
      <c r="E35" s="422"/>
      <c r="F35" s="300"/>
      <c r="G35" s="300"/>
      <c r="H35" s="300"/>
      <c r="I35" s="38"/>
      <c r="J35" s="38"/>
      <c r="K35" s="38"/>
      <c r="L35" s="38"/>
      <c r="M35" s="38"/>
      <c r="N35" s="38"/>
      <c r="O35" s="38"/>
      <c r="P35" s="38"/>
    </row>
    <row r="36" spans="1:16">
      <c r="A36" s="38"/>
      <c r="B36" s="419"/>
      <c r="C36" s="555"/>
      <c r="D36" s="419"/>
      <c r="E36" s="422"/>
      <c r="F36" s="300"/>
      <c r="G36" s="300"/>
      <c r="H36" s="300"/>
      <c r="I36" s="38"/>
      <c r="J36" s="38"/>
      <c r="K36" s="38"/>
      <c r="L36" s="38"/>
      <c r="M36" s="38"/>
      <c r="N36" s="38"/>
      <c r="O36" s="38"/>
      <c r="P36" s="38"/>
    </row>
    <row r="37" spans="1:16">
      <c r="A37" s="38"/>
      <c r="B37" s="888" t="s">
        <v>1444</v>
      </c>
      <c r="C37" s="888"/>
      <c r="D37" s="888"/>
      <c r="E37" s="888"/>
      <c r="F37" s="888"/>
      <c r="G37" s="888"/>
      <c r="H37" s="888"/>
      <c r="I37" s="38"/>
      <c r="J37" s="38"/>
      <c r="K37" s="38"/>
      <c r="L37" s="38"/>
      <c r="M37" s="38"/>
      <c r="N37" s="38"/>
      <c r="O37" s="38"/>
      <c r="P37" s="38"/>
    </row>
    <row r="38" spans="1:16">
      <c r="A38" s="38"/>
      <c r="B38" s="826" t="s">
        <v>1445</v>
      </c>
      <c r="C38" s="826"/>
      <c r="D38" s="826"/>
      <c r="E38" s="826"/>
      <c r="F38" s="826"/>
      <c r="G38" s="826"/>
      <c r="H38" s="826"/>
      <c r="I38" s="38"/>
      <c r="J38" s="202"/>
      <c r="K38" s="38"/>
      <c r="L38" s="38"/>
      <c r="M38" s="38"/>
      <c r="N38" s="38"/>
      <c r="O38" s="38"/>
      <c r="P38" s="38"/>
    </row>
    <row r="39" spans="1:16" ht="25.95" customHeight="1">
      <c r="A39" s="38"/>
      <c r="B39" s="797" t="s">
        <v>1446</v>
      </c>
      <c r="C39" s="797"/>
      <c r="D39" s="797"/>
      <c r="E39" s="797"/>
      <c r="F39" s="797"/>
      <c r="G39" s="797"/>
      <c r="H39" s="797"/>
      <c r="I39" s="38"/>
      <c r="J39" s="202"/>
      <c r="K39" s="38"/>
      <c r="L39" s="38"/>
      <c r="M39" s="38"/>
      <c r="N39" s="38"/>
      <c r="O39" s="38"/>
      <c r="P39" s="38"/>
    </row>
    <row r="40" spans="1:16">
      <c r="A40" s="38"/>
      <c r="B40" s="155" t="s">
        <v>1447</v>
      </c>
      <c r="C40" s="549"/>
      <c r="D40" s="155"/>
      <c r="E40" s="155"/>
      <c r="F40" s="155"/>
      <c r="G40" s="155"/>
      <c r="H40" s="155"/>
      <c r="I40" s="38"/>
      <c r="J40" s="38"/>
      <c r="K40" s="38"/>
      <c r="L40" s="38"/>
      <c r="M40" s="38"/>
      <c r="N40" s="38"/>
      <c r="O40" s="38"/>
      <c r="P40" s="38"/>
    </row>
    <row r="41" spans="1:16">
      <c r="A41" s="38"/>
      <c r="B41" s="155" t="s">
        <v>1448</v>
      </c>
      <c r="C41" s="549"/>
      <c r="D41" s="316"/>
      <c r="E41" s="423"/>
      <c r="F41" s="423"/>
      <c r="G41" s="423"/>
      <c r="H41" s="423"/>
      <c r="I41" s="38"/>
      <c r="J41" s="38"/>
      <c r="K41" s="38"/>
      <c r="L41" s="38"/>
      <c r="M41" s="38"/>
      <c r="N41" s="38"/>
      <c r="O41" s="38"/>
      <c r="P41" s="38"/>
    </row>
    <row r="42" spans="1:16">
      <c r="A42" s="38"/>
      <c r="B42" s="155" t="s">
        <v>1449</v>
      </c>
      <c r="C42" s="549"/>
      <c r="D42" s="424"/>
      <c r="E42" s="38"/>
      <c r="F42" s="38"/>
      <c r="G42" s="410"/>
      <c r="H42" s="410"/>
      <c r="I42" s="38"/>
      <c r="J42" s="38"/>
      <c r="K42" s="38"/>
      <c r="L42" s="38"/>
      <c r="M42" s="38"/>
      <c r="N42" s="38"/>
      <c r="O42" s="38"/>
      <c r="P42" s="38"/>
    </row>
    <row r="43" spans="1:16" ht="13.5" customHeight="1">
      <c r="A43" s="38"/>
      <c r="B43" s="882" t="s">
        <v>1450</v>
      </c>
      <c r="C43" s="882"/>
      <c r="D43" s="882"/>
      <c r="E43" s="882"/>
      <c r="F43" s="882"/>
      <c r="G43" s="882"/>
      <c r="H43" s="882"/>
      <c r="I43" s="38"/>
      <c r="J43" s="38"/>
      <c r="K43" s="38"/>
      <c r="L43" s="38"/>
      <c r="M43" s="38"/>
      <c r="N43" s="38"/>
      <c r="O43" s="38"/>
      <c r="P43" s="38"/>
    </row>
    <row r="44" spans="1:16">
      <c r="A44" s="38"/>
      <c r="B44" s="738" t="s">
        <v>1451</v>
      </c>
      <c r="C44" s="549"/>
      <c r="D44" s="140"/>
      <c r="E44" s="140"/>
      <c r="F44" s="140"/>
      <c r="G44" s="140"/>
      <c r="H44" s="140"/>
      <c r="I44" s="38"/>
      <c r="J44" s="38"/>
      <c r="K44" s="38"/>
      <c r="L44" s="38"/>
      <c r="M44" s="38"/>
      <c r="N44" s="38"/>
      <c r="O44" s="38"/>
      <c r="P44" s="38"/>
    </row>
    <row r="45" spans="1:16">
      <c r="A45" s="38"/>
      <c r="B45" s="939"/>
      <c r="C45" s="939"/>
      <c r="D45" s="939"/>
      <c r="E45" s="939"/>
      <c r="F45" s="77"/>
      <c r="G45" s="425"/>
      <c r="H45" s="425"/>
      <c r="I45" s="38"/>
      <c r="J45" s="38"/>
      <c r="K45" s="38"/>
      <c r="L45" s="38"/>
      <c r="M45" s="38"/>
      <c r="N45" s="38"/>
      <c r="O45" s="38"/>
      <c r="P45" s="38"/>
    </row>
  </sheetData>
  <sheetProtection algorithmName="SHA-512" hashValue="fTFMMwt/ChSIoV32uhUcr5BvoDjnbDcbAun8F9zhYQJaotVdxNOVjbWXjYsJJh/BopDJI3cm11c/y2iLkJoBJA==" saltValue="+ZDiUVuJAR85JoCi84dIog==" spinCount="100000" sheet="1" objects="1" scenarios="1"/>
  <mergeCells count="8">
    <mergeCell ref="B43:H43"/>
    <mergeCell ref="B45:E45"/>
    <mergeCell ref="B17:H17"/>
    <mergeCell ref="B18:H18"/>
    <mergeCell ref="B19:H19"/>
    <mergeCell ref="B37:H37"/>
    <mergeCell ref="B38:H38"/>
    <mergeCell ref="B39:H39"/>
  </mergeCells>
  <hyperlinks>
    <hyperlink ref="A1" location="'Data Pack Overview'!A1" display="H" xr:uid="{6F18794C-CB20-400E-A358-43282E13013B}"/>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75252-427B-44BC-9DC5-AE3D2EA34AEF}">
  <sheetPr>
    <tabColor theme="1" tint="0.34998626667073579"/>
  </sheetPr>
  <dimension ref="A1:G73"/>
  <sheetViews>
    <sheetView showGridLines="0" workbookViewId="0">
      <selection activeCell="D2" sqref="D2"/>
    </sheetView>
  </sheetViews>
  <sheetFormatPr defaultRowHeight="14.4"/>
  <cols>
    <col min="1" max="1" width="2.5546875" customWidth="1"/>
    <col min="2" max="2" width="24.5546875" customWidth="1"/>
    <col min="3" max="3" width="7" customWidth="1"/>
    <col min="4" max="4" width="54.44140625" customWidth="1"/>
    <col min="5" max="5" width="34.44140625" customWidth="1"/>
    <col min="6" max="6" width="54.44140625" customWidth="1"/>
    <col min="7" max="7" width="25.5546875" customWidth="1"/>
  </cols>
  <sheetData>
    <row r="1" spans="1:7">
      <c r="A1" s="426" t="s">
        <v>32</v>
      </c>
      <c r="B1" s="427"/>
      <c r="C1" s="199"/>
      <c r="D1" s="427"/>
      <c r="E1" s="427"/>
      <c r="F1" s="427"/>
      <c r="G1" s="427"/>
    </row>
    <row r="2" spans="1:7" ht="21">
      <c r="A2" s="427"/>
      <c r="B2" s="39" t="s">
        <v>1452</v>
      </c>
      <c r="C2" s="428"/>
      <c r="D2" s="427"/>
      <c r="E2" s="427"/>
      <c r="F2" s="427"/>
      <c r="G2" s="427"/>
    </row>
    <row r="3" spans="1:7">
      <c r="A3" s="427"/>
      <c r="B3" s="427"/>
      <c r="C3" s="199"/>
      <c r="D3" s="427"/>
      <c r="E3" s="427"/>
      <c r="F3" s="427"/>
      <c r="G3" s="427"/>
    </row>
    <row r="4" spans="1:7" ht="27.45" customHeight="1">
      <c r="A4" s="427"/>
      <c r="B4" s="794" t="s">
        <v>1453</v>
      </c>
      <c r="C4" s="794"/>
      <c r="D4" s="794"/>
      <c r="E4" s="794"/>
      <c r="F4" s="794"/>
      <c r="G4" s="794"/>
    </row>
    <row r="5" spans="1:7">
      <c r="A5" s="427"/>
      <c r="B5" s="427"/>
      <c r="C5" s="199"/>
      <c r="D5" s="427"/>
      <c r="E5" s="427"/>
      <c r="F5" s="427"/>
      <c r="G5" s="427"/>
    </row>
    <row r="6" spans="1:7">
      <c r="A6" s="427"/>
      <c r="B6" s="25" t="s">
        <v>1454</v>
      </c>
      <c r="C6" s="26" t="s">
        <v>1455</v>
      </c>
      <c r="D6" s="25" t="s">
        <v>1456</v>
      </c>
      <c r="E6" s="25" t="s">
        <v>830</v>
      </c>
      <c r="F6" s="25" t="s">
        <v>1457</v>
      </c>
      <c r="G6" s="25" t="s">
        <v>1458</v>
      </c>
    </row>
    <row r="7" spans="1:7">
      <c r="A7" s="427"/>
      <c r="B7" s="27" t="s">
        <v>1459</v>
      </c>
      <c r="C7" s="429"/>
      <c r="D7" s="400"/>
      <c r="E7" s="400"/>
      <c r="F7" s="400"/>
      <c r="G7" s="430"/>
    </row>
    <row r="8" spans="1:7">
      <c r="A8" s="427"/>
      <c r="B8" s="961" t="s">
        <v>1460</v>
      </c>
      <c r="C8" s="431" t="s">
        <v>1461</v>
      </c>
      <c r="D8" s="432" t="s">
        <v>1462</v>
      </c>
      <c r="E8" s="432" t="s">
        <v>1463</v>
      </c>
      <c r="F8" s="433"/>
      <c r="G8" s="433"/>
    </row>
    <row r="9" spans="1:7">
      <c r="A9" s="427"/>
      <c r="B9" s="959"/>
      <c r="C9" s="434" t="s">
        <v>1464</v>
      </c>
      <c r="D9" s="31" t="s">
        <v>1465</v>
      </c>
      <c r="E9" s="31" t="s">
        <v>1463</v>
      </c>
      <c r="F9" s="435"/>
      <c r="G9" s="435"/>
    </row>
    <row r="10" spans="1:7">
      <c r="A10" s="427"/>
      <c r="B10" s="959"/>
      <c r="C10" s="434" t="s">
        <v>1466</v>
      </c>
      <c r="D10" s="31" t="s">
        <v>1467</v>
      </c>
      <c r="E10" s="31" t="s">
        <v>1463</v>
      </c>
      <c r="F10" s="435"/>
      <c r="G10" s="435"/>
    </row>
    <row r="11" spans="1:7">
      <c r="A11" s="427"/>
      <c r="B11" s="959"/>
      <c r="C11" s="434" t="s">
        <v>1468</v>
      </c>
      <c r="D11" s="31" t="s">
        <v>1469</v>
      </c>
      <c r="E11" s="31" t="s">
        <v>1707</v>
      </c>
      <c r="F11" s="435"/>
      <c r="G11" s="435"/>
    </row>
    <row r="12" spans="1:7">
      <c r="A12" s="427"/>
      <c r="B12" s="959"/>
      <c r="C12" s="434" t="s">
        <v>1470</v>
      </c>
      <c r="D12" s="31" t="s">
        <v>1471</v>
      </c>
      <c r="E12" s="31" t="s">
        <v>1463</v>
      </c>
      <c r="F12" s="435"/>
      <c r="G12" s="435"/>
    </row>
    <row r="13" spans="1:7" ht="34.200000000000003">
      <c r="A13" s="427"/>
      <c r="B13" s="962" t="s">
        <v>1472</v>
      </c>
      <c r="C13" s="434" t="s">
        <v>1473</v>
      </c>
      <c r="D13" s="31" t="s">
        <v>1474</v>
      </c>
      <c r="E13" s="31" t="s">
        <v>1475</v>
      </c>
      <c r="F13" s="435"/>
      <c r="G13" s="947" t="s">
        <v>1476</v>
      </c>
    </row>
    <row r="14" spans="1:7">
      <c r="A14" s="427"/>
      <c r="B14" s="962"/>
      <c r="C14" s="434" t="s">
        <v>1477</v>
      </c>
      <c r="D14" s="31" t="s">
        <v>1372</v>
      </c>
      <c r="E14" s="31" t="s">
        <v>1478</v>
      </c>
      <c r="F14" s="435"/>
      <c r="G14" s="963"/>
    </row>
    <row r="15" spans="1:7">
      <c r="A15" s="427"/>
      <c r="B15" s="962"/>
      <c r="C15" s="434" t="s">
        <v>1479</v>
      </c>
      <c r="D15" s="31" t="s">
        <v>1480</v>
      </c>
      <c r="E15" s="31" t="s">
        <v>1478</v>
      </c>
      <c r="F15" s="435"/>
      <c r="G15" s="948"/>
    </row>
    <row r="16" spans="1:7">
      <c r="A16" s="427"/>
      <c r="B16" s="436" t="s">
        <v>1481</v>
      </c>
      <c r="C16" s="434" t="s">
        <v>1482</v>
      </c>
      <c r="D16" s="31" t="s">
        <v>1483</v>
      </c>
      <c r="E16" s="31" t="s">
        <v>1463</v>
      </c>
      <c r="F16" s="435"/>
      <c r="G16" s="435"/>
    </row>
    <row r="17" spans="1:7" ht="22.8">
      <c r="A17" s="427"/>
      <c r="B17" s="959" t="s">
        <v>1484</v>
      </c>
      <c r="C17" s="434" t="s">
        <v>1485</v>
      </c>
      <c r="D17" s="31" t="s">
        <v>1486</v>
      </c>
      <c r="E17" s="31" t="s">
        <v>1463</v>
      </c>
      <c r="F17" s="435"/>
      <c r="G17" s="435"/>
    </row>
    <row r="18" spans="1:7">
      <c r="A18" s="427"/>
      <c r="B18" s="961"/>
      <c r="C18" s="434" t="s">
        <v>1487</v>
      </c>
      <c r="D18" s="31" t="s">
        <v>1488</v>
      </c>
      <c r="E18" s="31" t="s">
        <v>1463</v>
      </c>
      <c r="F18" s="332" t="s">
        <v>1489</v>
      </c>
      <c r="G18" s="435"/>
    </row>
    <row r="19" spans="1:7" ht="22.8">
      <c r="A19" s="427"/>
      <c r="B19" s="960"/>
      <c r="C19" s="434" t="s">
        <v>1490</v>
      </c>
      <c r="D19" s="31" t="s">
        <v>1491</v>
      </c>
      <c r="E19" s="198" t="s">
        <v>1492</v>
      </c>
      <c r="F19" s="435"/>
      <c r="G19" s="435"/>
    </row>
    <row r="20" spans="1:7" ht="22.8">
      <c r="A20" s="427"/>
      <c r="B20" s="959" t="s">
        <v>1493</v>
      </c>
      <c r="C20" s="434" t="s">
        <v>1494</v>
      </c>
      <c r="D20" s="31" t="s">
        <v>1495</v>
      </c>
      <c r="E20" s="33" t="s">
        <v>1492</v>
      </c>
      <c r="F20" s="435"/>
      <c r="G20" s="435"/>
    </row>
    <row r="21" spans="1:7">
      <c r="A21" s="427"/>
      <c r="B21" s="960"/>
      <c r="C21" s="434" t="s">
        <v>1496</v>
      </c>
      <c r="D21" s="31" t="s">
        <v>1497</v>
      </c>
      <c r="E21" s="31" t="s">
        <v>1463</v>
      </c>
      <c r="F21" s="435"/>
      <c r="G21" s="437" t="s">
        <v>1498</v>
      </c>
    </row>
    <row r="22" spans="1:7">
      <c r="A22" s="427"/>
      <c r="B22" s="27" t="s">
        <v>1499</v>
      </c>
      <c r="C22" s="429"/>
      <c r="D22" s="400"/>
      <c r="E22" s="400"/>
      <c r="F22" s="400"/>
      <c r="G22" s="438"/>
    </row>
    <row r="23" spans="1:7">
      <c r="A23" s="427"/>
      <c r="B23" s="863" t="s">
        <v>1500</v>
      </c>
      <c r="C23" s="956" t="s">
        <v>1501</v>
      </c>
      <c r="D23" s="863" t="s">
        <v>1502</v>
      </c>
      <c r="E23" s="33" t="s">
        <v>1463</v>
      </c>
      <c r="F23" s="33" t="s">
        <v>1503</v>
      </c>
      <c r="G23" s="439"/>
    </row>
    <row r="24" spans="1:7">
      <c r="A24" s="427"/>
      <c r="B24" s="864"/>
      <c r="C24" s="957"/>
      <c r="D24" s="864"/>
      <c r="E24" s="33" t="s">
        <v>1504</v>
      </c>
      <c r="F24" s="33" t="s">
        <v>1503</v>
      </c>
      <c r="G24" s="439"/>
    </row>
    <row r="25" spans="1:7">
      <c r="A25" s="427"/>
      <c r="B25" s="864"/>
      <c r="C25" s="957"/>
      <c r="D25" s="864"/>
      <c r="E25" s="33" t="s">
        <v>1505</v>
      </c>
      <c r="F25" s="33" t="s">
        <v>1503</v>
      </c>
      <c r="G25" s="439"/>
    </row>
    <row r="26" spans="1:7">
      <c r="A26" s="427"/>
      <c r="B26" s="864"/>
      <c r="C26" s="958"/>
      <c r="D26" s="865"/>
      <c r="E26" s="33" t="s">
        <v>1506</v>
      </c>
      <c r="F26" s="33" t="s">
        <v>1503</v>
      </c>
      <c r="G26" s="439"/>
    </row>
    <row r="27" spans="1:7">
      <c r="A27" s="427"/>
      <c r="B27" s="864"/>
      <c r="C27" s="440" t="s">
        <v>1507</v>
      </c>
      <c r="D27" s="33" t="s">
        <v>1508</v>
      </c>
      <c r="E27" s="33" t="s">
        <v>1463</v>
      </c>
      <c r="F27" s="439"/>
      <c r="G27" s="439"/>
    </row>
    <row r="28" spans="1:7">
      <c r="A28" s="427"/>
      <c r="B28" s="865"/>
      <c r="C28" s="440" t="s">
        <v>1509</v>
      </c>
      <c r="D28" s="33" t="s">
        <v>1510</v>
      </c>
      <c r="E28" s="33" t="s">
        <v>1463</v>
      </c>
      <c r="F28" s="439"/>
      <c r="G28" s="439"/>
    </row>
    <row r="29" spans="1:7">
      <c r="A29" s="427"/>
      <c r="B29" s="25" t="s">
        <v>1511</v>
      </c>
      <c r="C29" s="26" t="s">
        <v>1512</v>
      </c>
      <c r="D29" s="25" t="s">
        <v>1513</v>
      </c>
      <c r="E29" s="25"/>
      <c r="F29" s="25"/>
      <c r="G29" s="25"/>
    </row>
    <row r="30" spans="1:7">
      <c r="A30" s="427"/>
      <c r="B30" s="27" t="s">
        <v>1514</v>
      </c>
      <c r="C30" s="429"/>
      <c r="D30" s="400"/>
      <c r="E30" s="400"/>
      <c r="F30" s="400"/>
      <c r="G30" s="430"/>
    </row>
    <row r="31" spans="1:7">
      <c r="A31" s="427"/>
      <c r="B31" s="863" t="s">
        <v>1515</v>
      </c>
      <c r="C31" s="941" t="s">
        <v>1516</v>
      </c>
      <c r="D31" s="863" t="s">
        <v>1517</v>
      </c>
      <c r="E31" s="33" t="s">
        <v>1463</v>
      </c>
      <c r="F31" s="441"/>
      <c r="G31" s="439"/>
    </row>
    <row r="32" spans="1:7">
      <c r="A32" s="427"/>
      <c r="B32" s="865"/>
      <c r="C32" s="942"/>
      <c r="D32" s="865"/>
      <c r="E32" s="442" t="s">
        <v>9</v>
      </c>
      <c r="F32" s="441"/>
      <c r="G32" s="439"/>
    </row>
    <row r="33" spans="1:7">
      <c r="A33" s="427"/>
      <c r="B33" s="197" t="s">
        <v>1518</v>
      </c>
      <c r="C33" s="195" t="s">
        <v>1519</v>
      </c>
      <c r="D33" s="339" t="s">
        <v>1520</v>
      </c>
      <c r="E33" s="339" t="s">
        <v>1463</v>
      </c>
      <c r="F33" s="441"/>
      <c r="G33" s="439"/>
    </row>
    <row r="34" spans="1:7">
      <c r="A34" s="427"/>
      <c r="B34" s="863" t="s">
        <v>1521</v>
      </c>
      <c r="C34" s="941" t="s">
        <v>1522</v>
      </c>
      <c r="D34" s="863" t="s">
        <v>1523</v>
      </c>
      <c r="E34" s="701" t="s">
        <v>13</v>
      </c>
      <c r="F34" s="441"/>
      <c r="G34" s="439"/>
    </row>
    <row r="35" spans="1:7">
      <c r="A35" s="427"/>
      <c r="B35" s="864"/>
      <c r="C35" s="952"/>
      <c r="D35" s="864"/>
      <c r="E35" s="442" t="s">
        <v>9</v>
      </c>
      <c r="F35" s="441"/>
      <c r="G35" s="439"/>
    </row>
    <row r="36" spans="1:7">
      <c r="A36" s="427"/>
      <c r="B36" s="865"/>
      <c r="C36" s="942"/>
      <c r="D36" s="865"/>
      <c r="E36" s="442" t="s">
        <v>9</v>
      </c>
      <c r="F36" s="441"/>
      <c r="G36" s="439"/>
    </row>
    <row r="37" spans="1:7" ht="22.8">
      <c r="A37" s="427"/>
      <c r="B37" s="197" t="s">
        <v>1524</v>
      </c>
      <c r="C37" s="195" t="s">
        <v>1525</v>
      </c>
      <c r="D37" s="339" t="s">
        <v>1526</v>
      </c>
      <c r="E37" s="33" t="s">
        <v>1527</v>
      </c>
      <c r="F37" s="441" t="s">
        <v>1528</v>
      </c>
      <c r="G37" s="439"/>
    </row>
    <row r="38" spans="1:7" ht="22.8">
      <c r="A38" s="427"/>
      <c r="B38" s="197" t="s">
        <v>1529</v>
      </c>
      <c r="C38" s="195" t="s">
        <v>1530</v>
      </c>
      <c r="D38" s="33" t="s">
        <v>1531</v>
      </c>
      <c r="E38" s="33" t="s">
        <v>1532</v>
      </c>
      <c r="F38" s="441"/>
      <c r="G38" s="437" t="s">
        <v>1533</v>
      </c>
    </row>
    <row r="39" spans="1:7" ht="22.8">
      <c r="A39" s="427"/>
      <c r="B39" s="197" t="s">
        <v>1534</v>
      </c>
      <c r="C39" s="195" t="s">
        <v>1535</v>
      </c>
      <c r="D39" s="33" t="s">
        <v>1536</v>
      </c>
      <c r="E39" s="441"/>
      <c r="F39" s="339" t="s">
        <v>1537</v>
      </c>
      <c r="G39" s="439"/>
    </row>
    <row r="40" spans="1:7">
      <c r="A40" s="427"/>
      <c r="B40" s="27" t="s">
        <v>1538</v>
      </c>
      <c r="C40" s="429"/>
      <c r="D40" s="400"/>
      <c r="E40" s="400"/>
      <c r="F40" s="400"/>
      <c r="G40" s="443"/>
    </row>
    <row r="41" spans="1:7" ht="22.8">
      <c r="A41" s="427"/>
      <c r="B41" s="197" t="s">
        <v>1539</v>
      </c>
      <c r="C41" s="195" t="s">
        <v>1540</v>
      </c>
      <c r="D41" s="33" t="s">
        <v>1541</v>
      </c>
      <c r="E41" s="442" t="s">
        <v>8</v>
      </c>
      <c r="F41" s="441"/>
      <c r="G41" s="338" t="s">
        <v>1542</v>
      </c>
    </row>
    <row r="42" spans="1:7" ht="22.8">
      <c r="A42" s="427"/>
      <c r="B42" s="35" t="s">
        <v>1543</v>
      </c>
      <c r="C42" s="195" t="s">
        <v>1544</v>
      </c>
      <c r="D42" s="33" t="s">
        <v>1545</v>
      </c>
      <c r="E42" s="33" t="s">
        <v>1546</v>
      </c>
      <c r="F42" s="441"/>
      <c r="G42" s="338" t="s">
        <v>1542</v>
      </c>
    </row>
    <row r="43" spans="1:7" ht="22.8">
      <c r="A43" s="427"/>
      <c r="B43" s="197" t="s">
        <v>1547</v>
      </c>
      <c r="C43" s="195" t="s">
        <v>1548</v>
      </c>
      <c r="D43" s="33" t="s">
        <v>1549</v>
      </c>
      <c r="E43" s="442" t="s">
        <v>23</v>
      </c>
      <c r="F43" s="441"/>
      <c r="G43" s="338" t="s">
        <v>1542</v>
      </c>
    </row>
    <row r="44" spans="1:7">
      <c r="A44" s="427"/>
      <c r="B44" s="863" t="s">
        <v>1550</v>
      </c>
      <c r="C44" s="195" t="s">
        <v>1551</v>
      </c>
      <c r="D44" s="33" t="s">
        <v>1552</v>
      </c>
      <c r="E44" s="953" t="s">
        <v>12</v>
      </c>
      <c r="F44" s="949"/>
      <c r="G44" s="946" t="s">
        <v>1542</v>
      </c>
    </row>
    <row r="45" spans="1:7">
      <c r="A45" s="427"/>
      <c r="B45" s="864"/>
      <c r="C45" s="195" t="s">
        <v>1553</v>
      </c>
      <c r="D45" s="33" t="s">
        <v>1554</v>
      </c>
      <c r="E45" s="954"/>
      <c r="F45" s="950"/>
      <c r="G45" s="946"/>
    </row>
    <row r="46" spans="1:7">
      <c r="A46" s="427"/>
      <c r="B46" s="865"/>
      <c r="C46" s="195" t="s">
        <v>1555</v>
      </c>
      <c r="D46" s="33" t="s">
        <v>1556</v>
      </c>
      <c r="E46" s="955"/>
      <c r="F46" s="951"/>
      <c r="G46" s="946"/>
    </row>
    <row r="47" spans="1:7" ht="22.8">
      <c r="A47" s="427"/>
      <c r="B47" s="197" t="s">
        <v>1557</v>
      </c>
      <c r="C47" s="195" t="s">
        <v>1558</v>
      </c>
      <c r="D47" s="33" t="s">
        <v>1559</v>
      </c>
      <c r="E47" s="442" t="s">
        <v>17</v>
      </c>
      <c r="F47" s="441"/>
      <c r="G47" s="338" t="s">
        <v>1542</v>
      </c>
    </row>
    <row r="48" spans="1:7" ht="22.8">
      <c r="A48" s="427"/>
      <c r="B48" s="197" t="s">
        <v>1560</v>
      </c>
      <c r="C48" s="195" t="s">
        <v>1561</v>
      </c>
      <c r="D48" s="339" t="s">
        <v>1562</v>
      </c>
      <c r="E48" s="33" t="s">
        <v>1527</v>
      </c>
      <c r="F48" s="441"/>
      <c r="G48" s="338" t="s">
        <v>1542</v>
      </c>
    </row>
    <row r="49" spans="1:7">
      <c r="A49" s="427"/>
      <c r="B49" s="27" t="s">
        <v>1563</v>
      </c>
      <c r="C49" s="429"/>
      <c r="D49" s="400"/>
      <c r="E49" s="400"/>
      <c r="F49" s="400"/>
      <c r="G49" s="443"/>
    </row>
    <row r="50" spans="1:7">
      <c r="A50" s="427"/>
      <c r="B50" s="863" t="s">
        <v>1564</v>
      </c>
      <c r="C50" s="941" t="s">
        <v>1565</v>
      </c>
      <c r="D50" s="863" t="s">
        <v>1566</v>
      </c>
      <c r="E50" s="442" t="s">
        <v>1567</v>
      </c>
      <c r="F50" s="441"/>
      <c r="G50" s="947" t="s">
        <v>1476</v>
      </c>
    </row>
    <row r="51" spans="1:7">
      <c r="A51" s="427"/>
      <c r="B51" s="865"/>
      <c r="C51" s="942"/>
      <c r="D51" s="865"/>
      <c r="E51" s="442" t="s">
        <v>14</v>
      </c>
      <c r="F51" s="441"/>
      <c r="G51" s="948"/>
    </row>
    <row r="52" spans="1:7" ht="22.8">
      <c r="A52" s="427"/>
      <c r="B52" s="197" t="s">
        <v>1568</v>
      </c>
      <c r="C52" s="195" t="s">
        <v>1569</v>
      </c>
      <c r="D52" s="33" t="s">
        <v>1570</v>
      </c>
      <c r="E52" s="33" t="s">
        <v>1571</v>
      </c>
      <c r="F52" s="441"/>
      <c r="G52" s="437" t="s">
        <v>1498</v>
      </c>
    </row>
    <row r="53" spans="1:7" ht="22.8">
      <c r="A53" s="427"/>
      <c r="B53" s="197" t="s">
        <v>1572</v>
      </c>
      <c r="C53" s="195" t="s">
        <v>1573</v>
      </c>
      <c r="D53" s="33" t="s">
        <v>1574</v>
      </c>
      <c r="E53" s="442" t="s">
        <v>18</v>
      </c>
      <c r="F53" s="441"/>
      <c r="G53" s="439"/>
    </row>
    <row r="54" spans="1:7">
      <c r="A54" s="427"/>
      <c r="B54" s="197" t="s">
        <v>1575</v>
      </c>
      <c r="C54" s="195" t="s">
        <v>1576</v>
      </c>
      <c r="D54" s="33" t="s">
        <v>1577</v>
      </c>
      <c r="E54" s="444" t="s">
        <v>20</v>
      </c>
      <c r="F54" s="441"/>
      <c r="G54" s="439"/>
    </row>
    <row r="55" spans="1:7" ht="22.8">
      <c r="A55" s="427"/>
      <c r="B55" s="197" t="s">
        <v>1578</v>
      </c>
      <c r="C55" s="195" t="s">
        <v>1579</v>
      </c>
      <c r="D55" s="33" t="s">
        <v>1580</v>
      </c>
      <c r="E55" s="442" t="s">
        <v>16</v>
      </c>
      <c r="F55" s="441"/>
      <c r="G55" s="437" t="s">
        <v>1476</v>
      </c>
    </row>
    <row r="56" spans="1:7" ht="22.8">
      <c r="A56" s="427"/>
      <c r="B56" s="197" t="s">
        <v>1581</v>
      </c>
      <c r="C56" s="195" t="s">
        <v>1582</v>
      </c>
      <c r="D56" s="33" t="s">
        <v>1583</v>
      </c>
      <c r="E56" s="441"/>
      <c r="F56" s="339" t="s">
        <v>1584</v>
      </c>
      <c r="G56" s="439"/>
    </row>
    <row r="57" spans="1:7" ht="22.8">
      <c r="A57" s="427"/>
      <c r="B57" s="197" t="s">
        <v>1585</v>
      </c>
      <c r="C57" s="195" t="s">
        <v>1586</v>
      </c>
      <c r="D57" s="339" t="s">
        <v>1587</v>
      </c>
      <c r="E57" s="33" t="s">
        <v>1463</v>
      </c>
      <c r="F57" s="441"/>
      <c r="G57" s="33" t="s">
        <v>1498</v>
      </c>
    </row>
    <row r="58" spans="1:7" ht="34.200000000000003">
      <c r="A58" s="427"/>
      <c r="B58" s="197" t="s">
        <v>1588</v>
      </c>
      <c r="C58" s="195" t="s">
        <v>1589</v>
      </c>
      <c r="D58" s="33" t="s">
        <v>1590</v>
      </c>
      <c r="E58" s="33" t="s">
        <v>1527</v>
      </c>
      <c r="F58" s="441"/>
      <c r="G58" s="338" t="s">
        <v>1591</v>
      </c>
    </row>
    <row r="59" spans="1:7" ht="34.200000000000003">
      <c r="A59" s="427"/>
      <c r="B59" s="197" t="s">
        <v>1592</v>
      </c>
      <c r="C59" s="195" t="s">
        <v>1593</v>
      </c>
      <c r="D59" s="33" t="s">
        <v>1594</v>
      </c>
      <c r="E59" s="33" t="s">
        <v>1527</v>
      </c>
      <c r="F59" s="441"/>
      <c r="G59" s="338" t="s">
        <v>1595</v>
      </c>
    </row>
    <row r="60" spans="1:7" ht="34.200000000000003">
      <c r="A60" s="427"/>
      <c r="B60" s="197" t="s">
        <v>1596</v>
      </c>
      <c r="C60" s="195" t="s">
        <v>1597</v>
      </c>
      <c r="D60" s="339" t="s">
        <v>1598</v>
      </c>
      <c r="E60" s="33" t="s">
        <v>1532</v>
      </c>
      <c r="F60" s="441"/>
      <c r="G60" s="338" t="s">
        <v>1595</v>
      </c>
    </row>
    <row r="61" spans="1:7" ht="34.200000000000003">
      <c r="A61" s="427"/>
      <c r="B61" s="197" t="s">
        <v>1599</v>
      </c>
      <c r="C61" s="195" t="s">
        <v>1600</v>
      </c>
      <c r="D61" s="33" t="s">
        <v>1601</v>
      </c>
      <c r="E61" s="441"/>
      <c r="F61" s="445" t="s">
        <v>1602</v>
      </c>
      <c r="G61" s="338" t="s">
        <v>1603</v>
      </c>
    </row>
    <row r="62" spans="1:7" ht="22.8">
      <c r="A62" s="427"/>
      <c r="B62" s="863" t="s">
        <v>1604</v>
      </c>
      <c r="C62" s="195" t="s">
        <v>1605</v>
      </c>
      <c r="D62" s="33" t="s">
        <v>1606</v>
      </c>
      <c r="E62" s="197" t="s">
        <v>1527</v>
      </c>
      <c r="F62" s="441"/>
      <c r="G62" s="338" t="s">
        <v>1603</v>
      </c>
    </row>
    <row r="63" spans="1:7" ht="22.8">
      <c r="A63" s="427"/>
      <c r="B63" s="865"/>
      <c r="C63" s="195" t="s">
        <v>1607</v>
      </c>
      <c r="D63" s="33" t="s">
        <v>1608</v>
      </c>
      <c r="E63" s="197" t="s">
        <v>1532</v>
      </c>
      <c r="F63" s="441"/>
      <c r="G63" s="338" t="s">
        <v>1603</v>
      </c>
    </row>
    <row r="64" spans="1:7">
      <c r="A64" s="427"/>
      <c r="B64" s="863" t="s">
        <v>1609</v>
      </c>
      <c r="C64" s="941" t="s">
        <v>1610</v>
      </c>
      <c r="D64" s="863" t="s">
        <v>1611</v>
      </c>
      <c r="E64" s="863" t="s">
        <v>1612</v>
      </c>
      <c r="F64" s="943"/>
      <c r="G64" s="943"/>
    </row>
    <row r="65" spans="1:7">
      <c r="A65" s="427"/>
      <c r="B65" s="865"/>
      <c r="C65" s="942"/>
      <c r="D65" s="865"/>
      <c r="E65" s="865"/>
      <c r="F65" s="944"/>
      <c r="G65" s="944"/>
    </row>
    <row r="66" spans="1:7">
      <c r="A66" s="427"/>
      <c r="B66" s="863" t="s">
        <v>1613</v>
      </c>
      <c r="C66" s="941" t="s">
        <v>1614</v>
      </c>
      <c r="D66" s="863" t="s">
        <v>1615</v>
      </c>
      <c r="E66" s="863" t="s">
        <v>1527</v>
      </c>
      <c r="F66" s="943"/>
      <c r="G66" s="943"/>
    </row>
    <row r="67" spans="1:7">
      <c r="A67" s="427"/>
      <c r="B67" s="865"/>
      <c r="C67" s="942"/>
      <c r="D67" s="865"/>
      <c r="E67" s="865"/>
      <c r="F67" s="945"/>
      <c r="G67" s="945"/>
    </row>
    <row r="68" spans="1:7" ht="22.8">
      <c r="A68" s="427"/>
      <c r="B68" s="197" t="s">
        <v>1616</v>
      </c>
      <c r="C68" s="195" t="s">
        <v>1617</v>
      </c>
      <c r="D68" s="33" t="s">
        <v>1618</v>
      </c>
      <c r="E68" s="197" t="s">
        <v>1492</v>
      </c>
      <c r="F68" s="944"/>
      <c r="G68" s="944"/>
    </row>
    <row r="69" spans="1:7">
      <c r="A69" s="427"/>
      <c r="B69" s="863" t="s">
        <v>1619</v>
      </c>
      <c r="C69" s="941" t="s">
        <v>1620</v>
      </c>
      <c r="D69" s="863" t="s">
        <v>1621</v>
      </c>
      <c r="E69" s="863" t="s">
        <v>1622</v>
      </c>
      <c r="F69" s="943"/>
      <c r="G69" s="943"/>
    </row>
    <row r="70" spans="1:7">
      <c r="A70" s="427"/>
      <c r="B70" s="865"/>
      <c r="C70" s="942"/>
      <c r="D70" s="865"/>
      <c r="E70" s="865"/>
      <c r="F70" s="944"/>
      <c r="G70" s="944"/>
    </row>
    <row r="71" spans="1:7" ht="22.8">
      <c r="A71" s="427"/>
      <c r="B71" s="863" t="s">
        <v>1623</v>
      </c>
      <c r="C71" s="195" t="s">
        <v>1624</v>
      </c>
      <c r="D71" s="33" t="s">
        <v>1625</v>
      </c>
      <c r="E71" s="441"/>
      <c r="F71" s="339" t="s">
        <v>1626</v>
      </c>
      <c r="G71" s="441"/>
    </row>
    <row r="72" spans="1:7" ht="22.8">
      <c r="A72" s="427"/>
      <c r="B72" s="865"/>
      <c r="C72" s="195" t="s">
        <v>1627</v>
      </c>
      <c r="D72" s="33" t="s">
        <v>1628</v>
      </c>
      <c r="E72" s="441"/>
      <c r="F72" s="339" t="s">
        <v>1629</v>
      </c>
      <c r="G72" s="441"/>
    </row>
    <row r="73" spans="1:7" ht="22.8">
      <c r="A73" s="427"/>
      <c r="B73" s="197" t="s">
        <v>1630</v>
      </c>
      <c r="C73" s="195" t="s">
        <v>1631</v>
      </c>
      <c r="D73" s="339" t="s">
        <v>1632</v>
      </c>
      <c r="E73" s="33" t="s">
        <v>1463</v>
      </c>
      <c r="F73" s="441"/>
      <c r="G73" s="441"/>
    </row>
  </sheetData>
  <sheetProtection algorithmName="SHA-512" hashValue="ro5MhRPXRu4clYX321WOr5ibNBbQ//s2fCBRnw0O586MfE5JJmNHWYpmLmVpEl/g89KNpddUxbKyjDrsgaeX2w==" saltValue="RoNE9Avh2HY1r2QRz1sU8A==" spinCount="100000" sheet="1" objects="1" scenarios="1"/>
  <mergeCells count="43">
    <mergeCell ref="B4:G4"/>
    <mergeCell ref="B23:B28"/>
    <mergeCell ref="C23:C26"/>
    <mergeCell ref="D23:D26"/>
    <mergeCell ref="B31:B32"/>
    <mergeCell ref="C31:C32"/>
    <mergeCell ref="D31:D32"/>
    <mergeCell ref="B20:B21"/>
    <mergeCell ref="B8:B12"/>
    <mergeCell ref="B13:B15"/>
    <mergeCell ref="G13:G15"/>
    <mergeCell ref="B17:B19"/>
    <mergeCell ref="B34:B36"/>
    <mergeCell ref="C34:C36"/>
    <mergeCell ref="D34:D36"/>
    <mergeCell ref="B44:B46"/>
    <mergeCell ref="E44:E46"/>
    <mergeCell ref="G64:G65"/>
    <mergeCell ref="G44:G46"/>
    <mergeCell ref="B50:B51"/>
    <mergeCell ref="C50:C51"/>
    <mergeCell ref="D50:D51"/>
    <mergeCell ref="G50:G51"/>
    <mergeCell ref="B62:B63"/>
    <mergeCell ref="F44:F46"/>
    <mergeCell ref="B64:B65"/>
    <mergeCell ref="C64:C65"/>
    <mergeCell ref="D64:D65"/>
    <mergeCell ref="E64:E65"/>
    <mergeCell ref="F64:F65"/>
    <mergeCell ref="F69:F70"/>
    <mergeCell ref="G69:G70"/>
    <mergeCell ref="B66:B67"/>
    <mergeCell ref="C66:C67"/>
    <mergeCell ref="D66:D67"/>
    <mergeCell ref="E66:E67"/>
    <mergeCell ref="F66:F68"/>
    <mergeCell ref="G66:G68"/>
    <mergeCell ref="B71:B72"/>
    <mergeCell ref="B69:B70"/>
    <mergeCell ref="C69:C70"/>
    <mergeCell ref="D69:D70"/>
    <mergeCell ref="E69:E70"/>
  </mergeCells>
  <hyperlinks>
    <hyperlink ref="A1" location="'Data Pack Overview'!A1" display="H" xr:uid="{2E5C202D-77BF-4813-9EED-E88F64AED0AD}"/>
    <hyperlink ref="E34" location="'Giving &amp; Volunteering'!A1" display="Giving &amp; Volunteering" xr:uid="{739526B3-693B-40A3-9475-224099D32D12}"/>
    <hyperlink ref="E36" location="'Community Investment'!A1" display="Community Investment" xr:uid="{62617EB7-848E-4F8B-9472-085159B0E904}"/>
    <hyperlink ref="E41" location="'Energy Consumption'!A1" display="Energy Consumption" xr:uid="{A780FA03-4610-4F17-BC5C-B1AABD0E56FF}"/>
    <hyperlink ref="E43" location="Biodiversity!A1" display="Biodiversity" xr:uid="{CCD2A824-4FFC-4733-92E3-816DBB9BED8C}"/>
    <hyperlink ref="E44:E46" location="Emissions!A1" display="Emissions" xr:uid="{8ADBC529-949E-4F9C-87B5-CC30F7C19331}"/>
    <hyperlink ref="E47" location="Waste!A1" display="Waste" xr:uid="{B553DAE1-E9BC-402C-9024-C53F214FB81A}"/>
    <hyperlink ref="E50" location="'Our Workforce'!A1" display="Our Workforce" xr:uid="{63DF1B33-7B7C-4AE9-B067-27ECFC4B3019}"/>
    <hyperlink ref="E51" location="'Employee Engagement'!A1" display="Employee Engagement" xr:uid="{57772D73-FB07-482D-BC59-10B8F5AB68C1}"/>
    <hyperlink ref="E53" location="'Health and Safety'!A1" display="Health &amp; Safety" xr:uid="{84E9BE36-AD21-4A5C-8B1F-6443C38ECCFD}"/>
    <hyperlink ref="E54" location="'Human Capital Development'!A1" display="'Human Capital Development'!A1" xr:uid="{DE3BE7BD-326F-4088-AF6D-0F51602F56F6}"/>
    <hyperlink ref="E55" location="'Diversity and Inclusion'!A1" display="Diversity and Inclusion" xr:uid="{30CC5CF6-AEB9-49BF-A00A-D2F8C1F62786}"/>
    <hyperlink ref="E32" location="'Community Investment'!A1" display="Community Investment" xr:uid="{11A636F7-A880-4B80-AFFA-6802052E0474}"/>
    <hyperlink ref="E35" location="'Community Investment'!A1" display="Community Investment" xr:uid="{E923E84B-93D6-4FBF-885D-5C549113758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60A85-4440-4C27-8FCD-03E87A021C31}">
  <sheetPr>
    <tabColor theme="1" tint="0.34998626667073579"/>
  </sheetPr>
  <dimension ref="A1:H30"/>
  <sheetViews>
    <sheetView showGridLines="0" workbookViewId="0">
      <selection activeCell="G10" sqref="G10"/>
    </sheetView>
  </sheetViews>
  <sheetFormatPr defaultRowHeight="14.4"/>
  <cols>
    <col min="1" max="1" width="2.5546875" customWidth="1"/>
    <col min="2" max="2" width="23.5546875" customWidth="1"/>
    <col min="3" max="3" width="12.5546875" customWidth="1"/>
    <col min="4" max="4" width="42.44140625" customWidth="1"/>
    <col min="5" max="6" width="24" customWidth="1"/>
    <col min="7" max="7" width="28.5546875" customWidth="1"/>
    <col min="8" max="8" width="70.44140625" customWidth="1"/>
  </cols>
  <sheetData>
    <row r="1" spans="1:8">
      <c r="A1" s="18" t="s">
        <v>32</v>
      </c>
      <c r="B1" s="1"/>
      <c r="C1" s="395"/>
      <c r="D1" s="1"/>
      <c r="E1" s="1"/>
      <c r="F1" s="1"/>
      <c r="G1" s="1"/>
      <c r="H1" s="1"/>
    </row>
    <row r="2" spans="1:8" ht="21">
      <c r="A2" s="1"/>
      <c r="B2" s="39" t="s">
        <v>1633</v>
      </c>
      <c r="C2" s="396"/>
      <c r="D2" s="1"/>
      <c r="E2" s="1"/>
      <c r="F2" s="1"/>
      <c r="G2" s="1"/>
      <c r="H2" s="1"/>
    </row>
    <row r="3" spans="1:8">
      <c r="A3" s="1"/>
      <c r="B3" s="1"/>
      <c r="C3" s="395"/>
      <c r="D3" s="1"/>
      <c r="E3" s="1"/>
      <c r="F3" s="1"/>
      <c r="G3" s="1"/>
      <c r="H3" s="1"/>
    </row>
    <row r="4" spans="1:8">
      <c r="A4" s="1"/>
      <c r="B4" s="794" t="s">
        <v>1634</v>
      </c>
      <c r="C4" s="794"/>
      <c r="D4" s="794"/>
      <c r="E4" s="794"/>
      <c r="F4" s="794"/>
      <c r="G4" s="794"/>
      <c r="H4" s="794"/>
    </row>
    <row r="5" spans="1:8">
      <c r="A5" s="1"/>
      <c r="B5" s="1"/>
      <c r="C5" s="395"/>
      <c r="D5" s="1"/>
      <c r="E5" s="1"/>
      <c r="F5" s="1"/>
      <c r="G5" s="1"/>
      <c r="H5" s="1"/>
    </row>
    <row r="6" spans="1:8">
      <c r="A6" s="1"/>
      <c r="B6" s="25" t="s">
        <v>1635</v>
      </c>
      <c r="C6" s="25" t="s">
        <v>1455</v>
      </c>
      <c r="D6" s="25" t="s">
        <v>1636</v>
      </c>
      <c r="E6" s="25" t="s">
        <v>1637</v>
      </c>
      <c r="F6" s="25" t="s">
        <v>1638</v>
      </c>
      <c r="G6" s="25" t="s">
        <v>830</v>
      </c>
      <c r="H6" s="25" t="s">
        <v>1457</v>
      </c>
    </row>
    <row r="7" spans="1:8">
      <c r="A7" s="1"/>
      <c r="B7" s="27" t="s">
        <v>1639</v>
      </c>
      <c r="C7" s="399"/>
      <c r="D7" s="400"/>
      <c r="E7" s="400"/>
      <c r="F7" s="400"/>
      <c r="G7" s="400"/>
      <c r="H7" s="401"/>
    </row>
    <row r="8" spans="1:8" ht="22.8">
      <c r="A8" s="1"/>
      <c r="B8" s="948" t="s">
        <v>1640</v>
      </c>
      <c r="C8" s="446" t="s">
        <v>1641</v>
      </c>
      <c r="D8" s="28" t="s">
        <v>1642</v>
      </c>
      <c r="E8" s="447" t="s">
        <v>1643</v>
      </c>
      <c r="F8" s="28" t="s">
        <v>1644</v>
      </c>
      <c r="G8" s="448" t="s">
        <v>8</v>
      </c>
      <c r="H8" s="439"/>
    </row>
    <row r="9" spans="1:8" ht="34.200000000000003">
      <c r="A9" s="1"/>
      <c r="B9" s="976"/>
      <c r="C9" s="330" t="s">
        <v>1645</v>
      </c>
      <c r="D9" s="338" t="s">
        <v>1646</v>
      </c>
      <c r="E9" s="437" t="s">
        <v>1643</v>
      </c>
      <c r="F9" s="338" t="s">
        <v>1647</v>
      </c>
      <c r="G9" s="448" t="s">
        <v>8</v>
      </c>
      <c r="H9" s="439"/>
    </row>
    <row r="10" spans="1:8" ht="34.200000000000003">
      <c r="A10" s="1"/>
      <c r="B10" s="976"/>
      <c r="C10" s="330" t="s">
        <v>1648</v>
      </c>
      <c r="D10" s="338" t="s">
        <v>1649</v>
      </c>
      <c r="E10" s="437" t="s">
        <v>1643</v>
      </c>
      <c r="F10" s="338" t="s">
        <v>1650</v>
      </c>
      <c r="G10" s="448" t="s">
        <v>8</v>
      </c>
      <c r="H10" s="439"/>
    </row>
    <row r="11" spans="1:8">
      <c r="A11" s="1"/>
      <c r="B11" s="976"/>
      <c r="C11" s="977" t="s">
        <v>1651</v>
      </c>
      <c r="D11" s="979" t="s">
        <v>1652</v>
      </c>
      <c r="E11" s="979" t="s">
        <v>1643</v>
      </c>
      <c r="F11" s="979" t="s">
        <v>1644</v>
      </c>
      <c r="G11" s="448" t="s">
        <v>21</v>
      </c>
      <c r="H11" s="863" t="s">
        <v>1653</v>
      </c>
    </row>
    <row r="12" spans="1:8" ht="34.200000000000003">
      <c r="A12" s="1"/>
      <c r="B12" s="976"/>
      <c r="C12" s="978"/>
      <c r="D12" s="980"/>
      <c r="E12" s="980"/>
      <c r="F12" s="980"/>
      <c r="G12" s="29" t="s">
        <v>1654</v>
      </c>
      <c r="H12" s="865"/>
    </row>
    <row r="13" spans="1:8" ht="34.200000000000003">
      <c r="A13" s="1"/>
      <c r="B13" s="976"/>
      <c r="C13" s="330" t="s">
        <v>1655</v>
      </c>
      <c r="D13" s="338" t="s">
        <v>1656</v>
      </c>
      <c r="E13" s="338" t="s">
        <v>1657</v>
      </c>
      <c r="F13" s="338" t="s">
        <v>329</v>
      </c>
      <c r="G13" s="29" t="s">
        <v>1504</v>
      </c>
      <c r="H13" s="29" t="s">
        <v>1658</v>
      </c>
    </row>
    <row r="14" spans="1:8" ht="45.6">
      <c r="A14" s="1"/>
      <c r="B14" s="971" t="s">
        <v>1659</v>
      </c>
      <c r="C14" s="449" t="s">
        <v>1660</v>
      </c>
      <c r="D14" s="450" t="s">
        <v>1661</v>
      </c>
      <c r="E14" s="451" t="s">
        <v>1643</v>
      </c>
      <c r="F14" s="450" t="s">
        <v>1644</v>
      </c>
      <c r="G14" s="452" t="s">
        <v>329</v>
      </c>
      <c r="H14" s="450" t="s">
        <v>1662</v>
      </c>
    </row>
    <row r="15" spans="1:8" ht="46.8">
      <c r="A15" s="1"/>
      <c r="B15" s="971"/>
      <c r="C15" s="449" t="s">
        <v>1663</v>
      </c>
      <c r="D15" s="453" t="s">
        <v>1664</v>
      </c>
      <c r="E15" s="451" t="s">
        <v>1643</v>
      </c>
      <c r="F15" s="450" t="s">
        <v>1665</v>
      </c>
      <c r="G15" s="540" t="s">
        <v>15</v>
      </c>
      <c r="H15" s="450" t="s">
        <v>1666</v>
      </c>
    </row>
    <row r="16" spans="1:8" ht="24">
      <c r="A16" s="1"/>
      <c r="B16" s="971"/>
      <c r="C16" s="449" t="s">
        <v>1667</v>
      </c>
      <c r="D16" s="453" t="s">
        <v>1668</v>
      </c>
      <c r="E16" s="451" t="s">
        <v>1643</v>
      </c>
      <c r="F16" s="450" t="s">
        <v>1650</v>
      </c>
      <c r="G16" s="540" t="s">
        <v>15</v>
      </c>
      <c r="H16" s="439"/>
    </row>
    <row r="17" spans="1:8">
      <c r="A17" s="1"/>
      <c r="B17" s="971"/>
      <c r="C17" s="972" t="s">
        <v>1669</v>
      </c>
      <c r="D17" s="969" t="s">
        <v>1670</v>
      </c>
      <c r="E17" s="969" t="s">
        <v>1657</v>
      </c>
      <c r="F17" s="969" t="s">
        <v>329</v>
      </c>
      <c r="G17" s="450" t="s">
        <v>1671</v>
      </c>
      <c r="H17" s="439"/>
    </row>
    <row r="18" spans="1:8" ht="34.200000000000003">
      <c r="A18" s="1"/>
      <c r="B18" s="971"/>
      <c r="C18" s="973"/>
      <c r="D18" s="970"/>
      <c r="E18" s="970"/>
      <c r="F18" s="970"/>
      <c r="G18" s="450" t="s">
        <v>1672</v>
      </c>
      <c r="H18" s="439"/>
    </row>
    <row r="19" spans="1:8" ht="45.6">
      <c r="A19" s="1"/>
      <c r="B19" s="946" t="s">
        <v>1673</v>
      </c>
      <c r="C19" s="446" t="s">
        <v>1674</v>
      </c>
      <c r="D19" s="338" t="s">
        <v>1675</v>
      </c>
      <c r="E19" s="437" t="s">
        <v>1643</v>
      </c>
      <c r="F19" s="338" t="s">
        <v>1676</v>
      </c>
      <c r="G19" s="339" t="s">
        <v>329</v>
      </c>
      <c r="H19" s="454" t="s">
        <v>1677</v>
      </c>
    </row>
    <row r="20" spans="1:8" ht="22.8">
      <c r="A20" s="1"/>
      <c r="B20" s="946"/>
      <c r="C20" s="974" t="s">
        <v>1678</v>
      </c>
      <c r="D20" s="338" t="s">
        <v>1679</v>
      </c>
      <c r="E20" s="437" t="s">
        <v>1643</v>
      </c>
      <c r="F20" s="338" t="s">
        <v>1644</v>
      </c>
      <c r="G20" s="448" t="s">
        <v>8</v>
      </c>
      <c r="H20" s="439"/>
    </row>
    <row r="21" spans="1:8" ht="34.200000000000003">
      <c r="A21" s="1"/>
      <c r="B21" s="946"/>
      <c r="C21" s="975"/>
      <c r="D21" s="338" t="s">
        <v>1680</v>
      </c>
      <c r="E21" s="437" t="s">
        <v>1643</v>
      </c>
      <c r="F21" s="338" t="s">
        <v>1644</v>
      </c>
      <c r="G21" s="339" t="s">
        <v>329</v>
      </c>
      <c r="H21" s="454" t="s">
        <v>1662</v>
      </c>
    </row>
    <row r="22" spans="1:8" ht="34.200000000000003">
      <c r="A22" s="1"/>
      <c r="B22" s="946"/>
      <c r="C22" s="455" t="s">
        <v>1681</v>
      </c>
      <c r="D22" s="338" t="s">
        <v>1682</v>
      </c>
      <c r="E22" s="338" t="s">
        <v>1657</v>
      </c>
      <c r="F22" s="338" t="s">
        <v>329</v>
      </c>
      <c r="G22" s="338" t="s">
        <v>1671</v>
      </c>
      <c r="H22" s="563" t="s">
        <v>1683</v>
      </c>
    </row>
    <row r="23" spans="1:8" ht="34.200000000000003">
      <c r="A23" s="1"/>
      <c r="B23" s="967" t="s">
        <v>1684</v>
      </c>
      <c r="C23" s="450" t="s">
        <v>1685</v>
      </c>
      <c r="D23" s="450" t="s">
        <v>1686</v>
      </c>
      <c r="E23" s="450" t="s">
        <v>1643</v>
      </c>
      <c r="F23" s="450" t="s">
        <v>1687</v>
      </c>
      <c r="G23" s="450" t="s">
        <v>329</v>
      </c>
      <c r="H23" s="452" t="s">
        <v>1688</v>
      </c>
    </row>
    <row r="24" spans="1:8">
      <c r="A24" s="1"/>
      <c r="B24" s="967"/>
      <c r="C24" s="968" t="s">
        <v>1689</v>
      </c>
      <c r="D24" s="968" t="s">
        <v>1690</v>
      </c>
      <c r="E24" s="968" t="s">
        <v>1657</v>
      </c>
      <c r="F24" s="968" t="s">
        <v>329</v>
      </c>
      <c r="G24" s="969" t="s">
        <v>1691</v>
      </c>
      <c r="H24" s="456"/>
    </row>
    <row r="25" spans="1:8">
      <c r="A25" s="1"/>
      <c r="B25" s="967"/>
      <c r="C25" s="968"/>
      <c r="D25" s="968"/>
      <c r="E25" s="968"/>
      <c r="F25" s="968"/>
      <c r="G25" s="970"/>
      <c r="H25" s="456"/>
    </row>
    <row r="26" spans="1:8">
      <c r="A26" s="1"/>
      <c r="B26" s="27" t="s">
        <v>1692</v>
      </c>
      <c r="C26" s="399"/>
      <c r="D26" s="400"/>
      <c r="E26" s="400"/>
      <c r="F26" s="400"/>
      <c r="G26" s="400"/>
      <c r="H26" s="401"/>
    </row>
    <row r="27" spans="1:8">
      <c r="A27" s="1"/>
      <c r="B27" s="964"/>
      <c r="C27" s="330" t="s">
        <v>1693</v>
      </c>
      <c r="D27" s="338" t="s">
        <v>1694</v>
      </c>
      <c r="E27" s="437" t="s">
        <v>1643</v>
      </c>
      <c r="F27" s="338" t="s">
        <v>155</v>
      </c>
      <c r="G27" s="33" t="s">
        <v>1463</v>
      </c>
      <c r="H27" s="439"/>
    </row>
    <row r="28" spans="1:8" ht="22.8">
      <c r="A28" s="1"/>
      <c r="B28" s="965"/>
      <c r="C28" s="333" t="s">
        <v>1695</v>
      </c>
      <c r="D28" s="333" t="s">
        <v>1696</v>
      </c>
      <c r="E28" s="333" t="s">
        <v>1643</v>
      </c>
      <c r="F28" s="333" t="s">
        <v>1687</v>
      </c>
      <c r="G28" s="29" t="s">
        <v>1463</v>
      </c>
      <c r="H28" s="29" t="s">
        <v>1697</v>
      </c>
    </row>
    <row r="29" spans="1:8" ht="22.8">
      <c r="A29" s="1"/>
      <c r="B29" s="965"/>
      <c r="C29" s="330" t="s">
        <v>1698</v>
      </c>
      <c r="D29" s="338" t="s">
        <v>1699</v>
      </c>
      <c r="E29" s="437" t="s">
        <v>1643</v>
      </c>
      <c r="F29" s="338" t="s">
        <v>1644</v>
      </c>
      <c r="G29" s="29" t="s">
        <v>1463</v>
      </c>
      <c r="H29" s="439"/>
    </row>
    <row r="30" spans="1:8">
      <c r="A30" s="1"/>
      <c r="B30" s="966"/>
      <c r="C30" s="330" t="s">
        <v>1700</v>
      </c>
      <c r="D30" s="338" t="s">
        <v>1701</v>
      </c>
      <c r="E30" s="437" t="s">
        <v>1643</v>
      </c>
      <c r="F30" s="338" t="s">
        <v>1650</v>
      </c>
      <c r="G30" s="33" t="s">
        <v>1463</v>
      </c>
      <c r="H30" s="439"/>
    </row>
  </sheetData>
  <sheetProtection algorithmName="SHA-512" hashValue="po68b9yNO7OhFRJ9usihCk3Hv5LhE1Gr0BRAIsZJ9jziSjhM4kvMV0w3OvDAzYRupfTJBW5d7EQd4szGCOyf1Q==" saltValue="W9a3+iddO6vqM4XJD14laQ==" spinCount="100000" sheet="1" objects="1" scenarios="1"/>
  <mergeCells count="21">
    <mergeCell ref="B4:H4"/>
    <mergeCell ref="B8:B13"/>
    <mergeCell ref="C11:C12"/>
    <mergeCell ref="D11:D12"/>
    <mergeCell ref="E11:E12"/>
    <mergeCell ref="F11:F12"/>
    <mergeCell ref="H11:H12"/>
    <mergeCell ref="F24:F25"/>
    <mergeCell ref="G24:G25"/>
    <mergeCell ref="B14:B18"/>
    <mergeCell ref="C17:C18"/>
    <mergeCell ref="D17:D18"/>
    <mergeCell ref="E17:E18"/>
    <mergeCell ref="F17:F18"/>
    <mergeCell ref="B19:B22"/>
    <mergeCell ref="C20:C21"/>
    <mergeCell ref="B27:B30"/>
    <mergeCell ref="B23:B25"/>
    <mergeCell ref="C24:C25"/>
    <mergeCell ref="D24:D25"/>
    <mergeCell ref="E24:E25"/>
  </mergeCells>
  <hyperlinks>
    <hyperlink ref="A1" location="'Data Pack Overview'!A1" display="H" xr:uid="{1A222CD2-DAFB-4B6C-8F59-E35ECECF9288}"/>
    <hyperlink ref="G8" location="'Energy Consumption'!A1" display="Energy Consumption" xr:uid="{E4B605AB-BB5E-4E8C-9CC0-3A78003F4853}"/>
    <hyperlink ref="G9" location="'Energy Consumption'!A1" display="Energy Consumption" xr:uid="{BAE98336-AAF2-46BE-BFE8-C82BF8F39B65}"/>
    <hyperlink ref="G10" location="'Energy Consumption'!A1" display="Energy Consumption" xr:uid="{EAE8DF13-15C4-47A4-BD77-6CF426680873}"/>
    <hyperlink ref="G20" location="'Energy Consumption'!A1" display="Energy Consumption" xr:uid="{D17F5D88-CCE2-41B1-9F06-AEFAD10FDCB9}"/>
    <hyperlink ref="G11" location="'Asset Ratings'!A1" display="Asset Ratings" xr:uid="{A7A98756-AC74-4150-A5FB-D26F784390AE}"/>
    <hyperlink ref="G15" location="Water!A1" display="Water Management &amp; Quality" xr:uid="{0DA36BC4-853B-43C5-8295-D5B1ACEE1008}"/>
    <hyperlink ref="G16" location="Water!A1" display="Water Management &amp; Quality" xr:uid="{B39DC3D2-102B-46FA-99B4-0CBE7E91AEB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8BCA-0D48-4126-865E-EB5267CA56B7}">
  <sheetPr>
    <tabColor theme="4"/>
  </sheetPr>
  <dimension ref="A1:M144"/>
  <sheetViews>
    <sheetView zoomScale="110" zoomScaleNormal="110" workbookViewId="0"/>
  </sheetViews>
  <sheetFormatPr defaultColWidth="8.5546875" defaultRowHeight="14.4"/>
  <cols>
    <col min="1" max="1" width="2.44140625" style="36" customWidth="1"/>
    <col min="2" max="2" width="17.5546875" style="36" customWidth="1"/>
    <col min="3" max="3" width="10.5546875" style="36" customWidth="1"/>
    <col min="4" max="10" width="10.5546875" style="37" customWidth="1"/>
    <col min="11" max="11" width="9.44140625" style="36" customWidth="1"/>
    <col min="12" max="12" width="13.44140625" style="38" customWidth="1"/>
    <col min="13" max="16384" width="8.5546875" style="36"/>
  </cols>
  <sheetData>
    <row r="1" spans="1:13" ht="14.85" customHeight="1">
      <c r="A1" s="18" t="s">
        <v>32</v>
      </c>
    </row>
    <row r="2" spans="1:13" ht="21">
      <c r="B2" s="39" t="s">
        <v>36</v>
      </c>
      <c r="C2" s="39"/>
      <c r="K2" s="37"/>
      <c r="L2" s="37"/>
      <c r="M2" s="37"/>
    </row>
    <row r="3" spans="1:13">
      <c r="K3" s="37"/>
      <c r="L3" s="37"/>
      <c r="M3" s="37"/>
    </row>
    <row r="4" spans="1:13" ht="15.6">
      <c r="B4" s="41" t="s">
        <v>37</v>
      </c>
      <c r="C4" s="41"/>
      <c r="K4" s="37"/>
      <c r="L4" s="37"/>
      <c r="M4" s="37"/>
    </row>
    <row r="5" spans="1:13">
      <c r="K5" s="37"/>
      <c r="L5" s="37"/>
      <c r="M5" s="37"/>
    </row>
    <row r="6" spans="1:13">
      <c r="B6" s="42" t="s">
        <v>38</v>
      </c>
      <c r="C6" s="43" t="s">
        <v>39</v>
      </c>
      <c r="D6" s="43" t="s">
        <v>40</v>
      </c>
      <c r="E6" s="43" t="s">
        <v>41</v>
      </c>
      <c r="F6" s="43" t="s">
        <v>42</v>
      </c>
      <c r="G6" s="43" t="s">
        <v>43</v>
      </c>
      <c r="K6" s="37"/>
      <c r="L6" s="37"/>
      <c r="M6" s="37"/>
    </row>
    <row r="7" spans="1:13">
      <c r="B7" s="44" t="s">
        <v>44</v>
      </c>
      <c r="C7" s="45"/>
      <c r="D7" s="45"/>
      <c r="E7" s="45"/>
      <c r="F7" s="45"/>
      <c r="G7" s="45"/>
      <c r="H7" s="36"/>
      <c r="I7" s="38"/>
      <c r="J7" s="36"/>
      <c r="L7" s="36"/>
    </row>
    <row r="8" spans="1:13">
      <c r="B8" s="46" t="s">
        <v>45</v>
      </c>
      <c r="C8" s="762">
        <v>1488</v>
      </c>
      <c r="D8" s="47">
        <v>1588</v>
      </c>
      <c r="E8" s="47">
        <v>1314</v>
      </c>
      <c r="F8" s="47">
        <v>1260</v>
      </c>
      <c r="G8" s="47">
        <v>1278</v>
      </c>
      <c r="H8" s="36"/>
      <c r="I8" s="48"/>
      <c r="J8" s="36"/>
      <c r="L8" s="36"/>
    </row>
    <row r="9" spans="1:13">
      <c r="B9" s="626" t="s">
        <v>46</v>
      </c>
      <c r="C9" s="762">
        <v>1406</v>
      </c>
      <c r="D9" s="50">
        <v>1489</v>
      </c>
      <c r="E9" s="50">
        <v>1222</v>
      </c>
      <c r="F9" s="50">
        <v>1183</v>
      </c>
      <c r="G9" s="50">
        <v>1191</v>
      </c>
      <c r="H9" s="36"/>
      <c r="I9" s="38"/>
      <c r="J9" s="36"/>
      <c r="L9" s="36"/>
    </row>
    <row r="10" spans="1:13">
      <c r="B10" s="49" t="s">
        <v>47</v>
      </c>
      <c r="C10" s="763">
        <v>82</v>
      </c>
      <c r="D10" s="51">
        <v>99</v>
      </c>
      <c r="E10" s="51">
        <v>285</v>
      </c>
      <c r="F10" s="51">
        <v>288</v>
      </c>
      <c r="G10" s="51">
        <v>87</v>
      </c>
      <c r="H10" s="36"/>
      <c r="I10" s="38"/>
      <c r="J10" s="36"/>
      <c r="L10" s="36"/>
    </row>
    <row r="11" spans="1:13">
      <c r="B11" s="52" t="s">
        <v>48</v>
      </c>
      <c r="C11" s="763">
        <v>128</v>
      </c>
      <c r="D11" s="51">
        <v>269</v>
      </c>
      <c r="E11" s="51">
        <v>297</v>
      </c>
      <c r="F11" s="51">
        <v>307</v>
      </c>
      <c r="G11" s="51">
        <v>313</v>
      </c>
      <c r="H11" s="523"/>
      <c r="I11" s="48"/>
      <c r="J11" s="36"/>
      <c r="L11" s="36"/>
    </row>
    <row r="12" spans="1:13">
      <c r="B12" s="53" t="s">
        <v>49</v>
      </c>
      <c r="C12" s="763">
        <v>118</v>
      </c>
      <c r="D12" s="51">
        <v>250</v>
      </c>
      <c r="E12" s="51">
        <v>285</v>
      </c>
      <c r="F12" s="51">
        <v>288</v>
      </c>
      <c r="G12" s="51">
        <v>297</v>
      </c>
      <c r="H12" s="36"/>
      <c r="I12" s="48"/>
      <c r="J12" s="36"/>
      <c r="L12" s="36"/>
    </row>
    <row r="13" spans="1:13">
      <c r="B13" s="53" t="s">
        <v>50</v>
      </c>
      <c r="C13" s="763">
        <v>10</v>
      </c>
      <c r="D13" s="51">
        <v>19</v>
      </c>
      <c r="E13" s="51">
        <v>12</v>
      </c>
      <c r="F13" s="51">
        <v>19</v>
      </c>
      <c r="G13" s="51">
        <v>16</v>
      </c>
      <c r="H13" s="36"/>
      <c r="I13" s="48"/>
      <c r="J13" s="36"/>
      <c r="L13" s="36"/>
    </row>
    <row r="14" spans="1:13">
      <c r="B14" s="54" t="s">
        <v>51</v>
      </c>
      <c r="C14" s="763">
        <v>19</v>
      </c>
      <c r="D14" s="51">
        <v>34</v>
      </c>
      <c r="E14" s="51">
        <v>29</v>
      </c>
      <c r="F14" s="51">
        <v>44</v>
      </c>
      <c r="G14" s="51">
        <v>47</v>
      </c>
      <c r="H14" s="36"/>
      <c r="I14" s="38"/>
      <c r="J14" s="36"/>
      <c r="L14" s="36"/>
    </row>
    <row r="15" spans="1:13">
      <c r="B15" s="54" t="s">
        <v>52</v>
      </c>
      <c r="C15" s="764">
        <v>1635</v>
      </c>
      <c r="D15" s="50">
        <v>1891</v>
      </c>
      <c r="E15" s="50">
        <v>1640</v>
      </c>
      <c r="F15" s="50">
        <v>1611</v>
      </c>
      <c r="G15" s="50">
        <v>1638</v>
      </c>
      <c r="H15" s="36"/>
      <c r="I15" s="38"/>
      <c r="J15" s="36"/>
      <c r="L15" s="36"/>
    </row>
    <row r="16" spans="1:13">
      <c r="B16" s="55" t="s">
        <v>53</v>
      </c>
      <c r="C16" s="765">
        <v>1573.2520999999999</v>
      </c>
      <c r="D16" s="56">
        <v>1754.2199999999987</v>
      </c>
      <c r="E16" s="56">
        <v>1526.7719999999999</v>
      </c>
      <c r="F16" s="56">
        <v>1449</v>
      </c>
      <c r="G16" s="56">
        <v>1463</v>
      </c>
      <c r="H16" s="524"/>
      <c r="I16" s="38"/>
      <c r="J16" s="36"/>
      <c r="L16" s="36"/>
    </row>
    <row r="17" spans="2:12">
      <c r="B17" s="44" t="s">
        <v>54</v>
      </c>
      <c r="C17" s="45"/>
      <c r="D17" s="45"/>
      <c r="E17" s="45"/>
      <c r="F17" s="45"/>
      <c r="G17" s="45"/>
      <c r="H17" s="36"/>
      <c r="I17" s="48"/>
      <c r="J17" s="36"/>
      <c r="L17" s="36"/>
    </row>
    <row r="18" spans="2:12">
      <c r="B18" s="57" t="s">
        <v>55</v>
      </c>
      <c r="C18" s="83">
        <v>870</v>
      </c>
      <c r="D18" s="51">
        <v>964</v>
      </c>
      <c r="E18" s="51">
        <v>896</v>
      </c>
      <c r="F18" s="51">
        <v>873</v>
      </c>
      <c r="G18" s="51">
        <v>886</v>
      </c>
      <c r="H18" s="36"/>
      <c r="I18" s="48"/>
      <c r="J18" s="36"/>
      <c r="L18" s="36"/>
    </row>
    <row r="19" spans="2:12">
      <c r="B19" s="57" t="s">
        <v>56</v>
      </c>
      <c r="C19" s="83">
        <v>416</v>
      </c>
      <c r="D19" s="51">
        <v>463</v>
      </c>
      <c r="E19" s="51">
        <v>314</v>
      </c>
      <c r="F19" s="51">
        <v>290</v>
      </c>
      <c r="G19" s="51">
        <v>301</v>
      </c>
      <c r="H19" s="36"/>
      <c r="I19" s="48"/>
      <c r="J19" s="36"/>
      <c r="L19" s="36"/>
    </row>
    <row r="20" spans="2:12">
      <c r="B20" s="57" t="s">
        <v>57</v>
      </c>
      <c r="C20" s="83">
        <v>267</v>
      </c>
      <c r="D20" s="51">
        <v>317</v>
      </c>
      <c r="E20" s="51">
        <v>277</v>
      </c>
      <c r="F20" s="51">
        <v>280</v>
      </c>
      <c r="G20" s="51">
        <v>281</v>
      </c>
      <c r="H20" s="36"/>
      <c r="I20" s="48"/>
      <c r="J20" s="36"/>
      <c r="L20" s="36"/>
    </row>
    <row r="21" spans="2:12">
      <c r="B21" s="57" t="s">
        <v>58</v>
      </c>
      <c r="C21" s="83">
        <v>81</v>
      </c>
      <c r="D21" s="51">
        <v>75</v>
      </c>
      <c r="E21" s="51">
        <v>77</v>
      </c>
      <c r="F21" s="51">
        <v>91</v>
      </c>
      <c r="G21" s="51">
        <v>95</v>
      </c>
      <c r="H21" s="36"/>
      <c r="I21" s="48"/>
      <c r="J21" s="36"/>
      <c r="L21" s="36"/>
    </row>
    <row r="22" spans="2:12">
      <c r="B22" s="57" t="s">
        <v>59</v>
      </c>
      <c r="C22" s="83">
        <v>1</v>
      </c>
      <c r="D22" s="51">
        <v>67</v>
      </c>
      <c r="E22" s="51">
        <v>71</v>
      </c>
      <c r="F22" s="51">
        <v>72</v>
      </c>
      <c r="G22" s="51">
        <v>70</v>
      </c>
      <c r="H22" s="36"/>
      <c r="I22" s="48"/>
      <c r="J22" s="36"/>
      <c r="L22" s="36"/>
    </row>
    <row r="23" spans="2:12" ht="20.399999999999999">
      <c r="B23" s="57" t="s">
        <v>60</v>
      </c>
      <c r="C23" s="83">
        <v>0</v>
      </c>
      <c r="D23" s="51">
        <v>5</v>
      </c>
      <c r="E23" s="51">
        <v>5</v>
      </c>
      <c r="F23" s="51">
        <v>5</v>
      </c>
      <c r="G23" s="51">
        <v>5</v>
      </c>
      <c r="H23" s="36"/>
      <c r="I23" s="48"/>
      <c r="J23" s="36"/>
      <c r="L23" s="36"/>
    </row>
    <row r="24" spans="2:12">
      <c r="B24" s="58" t="s">
        <v>61</v>
      </c>
      <c r="C24" s="766">
        <v>1635</v>
      </c>
      <c r="D24" s="56">
        <v>1891</v>
      </c>
      <c r="E24" s="56">
        <v>1640</v>
      </c>
      <c r="F24" s="56">
        <v>1611</v>
      </c>
      <c r="G24" s="56">
        <v>1638</v>
      </c>
      <c r="H24" s="36"/>
      <c r="I24" s="48"/>
      <c r="J24" s="36"/>
      <c r="L24" s="36"/>
    </row>
    <row r="25" spans="2:12">
      <c r="H25" s="48"/>
      <c r="I25" s="36"/>
      <c r="J25" s="36"/>
      <c r="L25" s="36"/>
    </row>
    <row r="26" spans="2:12" ht="11.25" customHeight="1">
      <c r="B26" s="797" t="s">
        <v>62</v>
      </c>
      <c r="C26" s="797"/>
      <c r="D26" s="797"/>
      <c r="E26" s="797"/>
      <c r="F26" s="797"/>
      <c r="G26" s="797"/>
      <c r="H26" s="797"/>
      <c r="I26" s="797"/>
      <c r="J26" s="797"/>
      <c r="L26" s="48"/>
    </row>
    <row r="27" spans="2:12">
      <c r="B27" s="38" t="s">
        <v>63</v>
      </c>
      <c r="C27" s="38"/>
      <c r="L27" s="59"/>
    </row>
    <row r="28" spans="2:12">
      <c r="B28" s="38" t="s">
        <v>64</v>
      </c>
      <c r="C28" s="38"/>
      <c r="L28" s="48"/>
    </row>
    <row r="29" spans="2:12">
      <c r="B29" s="797" t="s">
        <v>65</v>
      </c>
      <c r="C29" s="797"/>
      <c r="D29" s="797"/>
      <c r="E29" s="797"/>
      <c r="F29" s="797"/>
      <c r="G29" s="797"/>
      <c r="H29" s="797"/>
      <c r="I29" s="797"/>
      <c r="J29" s="797"/>
      <c r="K29" s="797"/>
      <c r="L29" s="797"/>
    </row>
    <row r="30" spans="2:12" ht="23.1" customHeight="1">
      <c r="B30" s="797" t="s">
        <v>66</v>
      </c>
      <c r="C30" s="797"/>
      <c r="D30" s="797"/>
      <c r="E30" s="797"/>
      <c r="F30" s="797"/>
      <c r="G30" s="797"/>
      <c r="H30" s="797"/>
      <c r="I30" s="797"/>
      <c r="J30" s="797"/>
      <c r="K30" s="797"/>
      <c r="L30" s="797"/>
    </row>
    <row r="31" spans="2:12">
      <c r="D31" s="36"/>
      <c r="E31" s="36"/>
      <c r="F31" s="36"/>
      <c r="G31" s="36"/>
      <c r="H31" s="36"/>
      <c r="I31" s="36"/>
      <c r="J31" s="36"/>
      <c r="L31" s="36"/>
    </row>
    <row r="32" spans="2:12" ht="15.6">
      <c r="B32" s="41" t="s">
        <v>67</v>
      </c>
      <c r="C32" s="41"/>
      <c r="I32" s="36"/>
      <c r="J32" s="36"/>
      <c r="L32" s="36"/>
    </row>
    <row r="33" spans="2:12">
      <c r="B33" s="60"/>
      <c r="C33" s="60"/>
      <c r="D33" s="798"/>
      <c r="E33" s="798"/>
      <c r="F33" s="798"/>
      <c r="G33" s="798"/>
      <c r="H33" s="799"/>
      <c r="I33" s="36"/>
      <c r="J33" s="36"/>
      <c r="L33" s="36"/>
    </row>
    <row r="34" spans="2:12">
      <c r="B34" s="61" t="s">
        <v>68</v>
      </c>
      <c r="C34" s="62" t="s">
        <v>69</v>
      </c>
      <c r="D34" s="62" t="s">
        <v>70</v>
      </c>
      <c r="E34" s="62" t="s">
        <v>71</v>
      </c>
      <c r="F34" s="62" t="s">
        <v>72</v>
      </c>
      <c r="G34" s="62" t="s">
        <v>73</v>
      </c>
      <c r="I34" s="36"/>
      <c r="J34" s="36"/>
      <c r="L34" s="36"/>
    </row>
    <row r="35" spans="2:12">
      <c r="B35" s="57" t="s">
        <v>74</v>
      </c>
      <c r="C35" s="568">
        <v>721</v>
      </c>
      <c r="D35" s="69">
        <v>0.51353276353276356</v>
      </c>
      <c r="E35" s="568">
        <v>683</v>
      </c>
      <c r="F35" s="69">
        <v>0.48646723646723644</v>
      </c>
      <c r="G35" s="204">
        <v>1404</v>
      </c>
      <c r="I35" s="36"/>
      <c r="J35" s="36"/>
      <c r="L35" s="36"/>
    </row>
    <row r="36" spans="2:12">
      <c r="B36" s="57" t="s">
        <v>75</v>
      </c>
      <c r="C36" s="568">
        <v>109</v>
      </c>
      <c r="D36" s="69">
        <v>0.92372881355932202</v>
      </c>
      <c r="E36" s="568">
        <v>9</v>
      </c>
      <c r="F36" s="69">
        <v>7.6271186440677971E-2</v>
      </c>
      <c r="G36" s="204">
        <v>118</v>
      </c>
      <c r="I36" s="36"/>
      <c r="J36" s="36"/>
      <c r="L36" s="36"/>
    </row>
    <row r="37" spans="2:12">
      <c r="B37" s="57" t="s">
        <v>50</v>
      </c>
      <c r="C37" s="568">
        <v>47</v>
      </c>
      <c r="D37" s="69">
        <v>0.51086956521739135</v>
      </c>
      <c r="E37" s="568">
        <v>45</v>
      </c>
      <c r="F37" s="69">
        <v>0.4891304347826087</v>
      </c>
      <c r="G37" s="204">
        <v>92</v>
      </c>
      <c r="I37" s="36"/>
      <c r="J37" s="36"/>
      <c r="L37" s="36"/>
    </row>
    <row r="38" spans="2:12">
      <c r="B38" s="57" t="s">
        <v>76</v>
      </c>
      <c r="C38" s="568">
        <v>17</v>
      </c>
      <c r="D38" s="69">
        <v>0.89473684210526316</v>
      </c>
      <c r="E38" s="568">
        <v>2</v>
      </c>
      <c r="F38" s="69">
        <v>0.10526315789473684</v>
      </c>
      <c r="G38" s="204">
        <v>19</v>
      </c>
      <c r="I38" s="36"/>
      <c r="J38" s="36"/>
      <c r="L38" s="36"/>
    </row>
    <row r="39" spans="2:12">
      <c r="B39" s="58" t="s">
        <v>61</v>
      </c>
      <c r="C39" s="56">
        <v>894</v>
      </c>
      <c r="D39" s="63">
        <v>0.54745866503368035</v>
      </c>
      <c r="E39" s="56">
        <v>739</v>
      </c>
      <c r="F39" s="63">
        <v>0.45254133496631965</v>
      </c>
      <c r="G39" s="56">
        <v>1633</v>
      </c>
      <c r="I39" s="36"/>
      <c r="J39" s="36"/>
      <c r="L39" s="36"/>
    </row>
    <row r="40" spans="2:12">
      <c r="B40" s="64"/>
      <c r="C40" s="65"/>
      <c r="I40" s="36"/>
      <c r="J40" s="36"/>
      <c r="L40" s="36"/>
    </row>
    <row r="41" spans="2:12">
      <c r="B41" s="559" t="s">
        <v>77</v>
      </c>
      <c r="C41" s="566"/>
      <c r="D41" s="567"/>
      <c r="E41" s="567"/>
      <c r="I41" s="36"/>
      <c r="J41" s="36"/>
      <c r="L41" s="36"/>
    </row>
    <row r="42" spans="2:12">
      <c r="I42" s="36"/>
      <c r="J42" s="36"/>
      <c r="L42" s="36"/>
    </row>
    <row r="43" spans="2:12" ht="15.6">
      <c r="B43" s="41" t="s">
        <v>78</v>
      </c>
      <c r="C43" s="41"/>
      <c r="I43" s="36"/>
      <c r="J43" s="36"/>
      <c r="L43" s="36"/>
    </row>
    <row r="44" spans="2:12">
      <c r="B44" s="67"/>
      <c r="C44" s="67"/>
      <c r="D44" s="798"/>
      <c r="E44" s="798"/>
      <c r="F44" s="798"/>
      <c r="G44" s="799"/>
      <c r="H44" s="67"/>
      <c r="I44" s="36"/>
      <c r="J44" s="36"/>
      <c r="L44" s="36"/>
    </row>
    <row r="45" spans="2:12">
      <c r="B45" s="61" t="s">
        <v>79</v>
      </c>
      <c r="C45" s="62" t="s">
        <v>69</v>
      </c>
      <c r="D45" s="62" t="s">
        <v>71</v>
      </c>
      <c r="E45" s="62" t="s">
        <v>61</v>
      </c>
      <c r="F45" s="62" t="s">
        <v>80</v>
      </c>
      <c r="I45" s="36"/>
      <c r="J45" s="36"/>
      <c r="L45" s="36"/>
    </row>
    <row r="46" spans="2:12">
      <c r="B46" s="57" t="s">
        <v>81</v>
      </c>
      <c r="C46" s="68">
        <v>61</v>
      </c>
      <c r="D46" s="68">
        <v>51</v>
      </c>
      <c r="E46" s="68">
        <v>112</v>
      </c>
      <c r="F46" s="69">
        <v>6.8585425597060629E-2</v>
      </c>
      <c r="H46" s="36"/>
      <c r="I46" s="36"/>
      <c r="J46" s="36"/>
      <c r="L46" s="36"/>
    </row>
    <row r="47" spans="2:12">
      <c r="B47" s="57" t="s">
        <v>82</v>
      </c>
      <c r="C47" s="68">
        <v>296</v>
      </c>
      <c r="D47" s="68">
        <v>216</v>
      </c>
      <c r="E47" s="68">
        <v>512</v>
      </c>
      <c r="F47" s="69">
        <v>0.31353337415799143</v>
      </c>
      <c r="H47" s="36"/>
      <c r="I47" s="36"/>
      <c r="J47" s="36"/>
      <c r="L47" s="36"/>
    </row>
    <row r="48" spans="2:12">
      <c r="B48" s="57" t="s">
        <v>83</v>
      </c>
      <c r="C48" s="68">
        <v>304</v>
      </c>
      <c r="D48" s="68">
        <v>223</v>
      </c>
      <c r="E48" s="68">
        <v>527</v>
      </c>
      <c r="F48" s="69">
        <v>0.32271892222902632</v>
      </c>
      <c r="H48" s="36"/>
      <c r="I48" s="36"/>
      <c r="J48" s="36"/>
      <c r="L48" s="36"/>
    </row>
    <row r="49" spans="2:12">
      <c r="B49" s="57" t="s">
        <v>84</v>
      </c>
      <c r="C49" s="68">
        <v>165</v>
      </c>
      <c r="D49" s="68">
        <v>159</v>
      </c>
      <c r="E49" s="68">
        <v>324</v>
      </c>
      <c r="F49" s="69">
        <v>0.19840783833435394</v>
      </c>
      <c r="H49" s="36"/>
      <c r="I49" s="36"/>
      <c r="J49" s="36"/>
      <c r="L49" s="36"/>
    </row>
    <row r="50" spans="2:12">
      <c r="B50" s="57" t="s">
        <v>85</v>
      </c>
      <c r="C50" s="68">
        <v>61</v>
      </c>
      <c r="D50" s="68">
        <v>81</v>
      </c>
      <c r="E50" s="68">
        <v>142</v>
      </c>
      <c r="F50" s="69">
        <v>8.6956521739130432E-2</v>
      </c>
      <c r="H50" s="36"/>
      <c r="I50" s="36"/>
      <c r="J50" s="36"/>
      <c r="L50" s="36"/>
    </row>
    <row r="51" spans="2:12">
      <c r="B51" s="57" t="s">
        <v>86</v>
      </c>
      <c r="C51" s="68">
        <v>7</v>
      </c>
      <c r="D51" s="68">
        <v>9</v>
      </c>
      <c r="E51" s="68">
        <v>16</v>
      </c>
      <c r="F51" s="69">
        <v>9.7979179424372322E-3</v>
      </c>
      <c r="H51" s="36"/>
      <c r="I51" s="36"/>
      <c r="J51" s="36"/>
      <c r="L51" s="36"/>
    </row>
    <row r="52" spans="2:12">
      <c r="B52" s="58" t="s">
        <v>61</v>
      </c>
      <c r="C52" s="56">
        <v>894</v>
      </c>
      <c r="D52" s="56">
        <v>739</v>
      </c>
      <c r="E52" s="56">
        <v>1633</v>
      </c>
      <c r="F52" s="63">
        <v>1</v>
      </c>
      <c r="G52" s="70"/>
      <c r="I52" s="36"/>
      <c r="J52" s="36"/>
      <c r="L52" s="36"/>
    </row>
    <row r="53" spans="2:12">
      <c r="B53" s="795"/>
      <c r="C53" s="795"/>
      <c r="D53" s="795"/>
      <c r="E53" s="795"/>
      <c r="F53" s="795"/>
      <c r="G53" s="796"/>
      <c r="K53" s="38"/>
      <c r="L53" s="36"/>
    </row>
    <row r="54" spans="2:12">
      <c r="B54" s="559" t="s">
        <v>77</v>
      </c>
      <c r="C54" s="565"/>
      <c r="D54" s="565"/>
      <c r="E54" s="565"/>
      <c r="F54" s="71"/>
      <c r="G54" s="71"/>
    </row>
    <row r="55" spans="2:12">
      <c r="G55" s="525"/>
      <c r="H55" s="36"/>
      <c r="I55" s="36"/>
      <c r="J55" s="36"/>
      <c r="L55" s="36"/>
    </row>
    <row r="56" spans="2:12" ht="15.6">
      <c r="B56" s="41" t="s">
        <v>87</v>
      </c>
      <c r="C56" s="41"/>
      <c r="H56" s="36"/>
      <c r="I56" s="36"/>
      <c r="J56" s="36"/>
      <c r="L56" s="36"/>
    </row>
    <row r="57" spans="2:12">
      <c r="H57" s="36"/>
      <c r="I57" s="36"/>
      <c r="J57" s="36"/>
      <c r="L57" s="36"/>
    </row>
    <row r="58" spans="2:12">
      <c r="B58" s="61"/>
      <c r="C58" s="43" t="s">
        <v>39</v>
      </c>
      <c r="D58" s="43" t="s">
        <v>40</v>
      </c>
      <c r="E58" s="43" t="s">
        <v>41</v>
      </c>
      <c r="F58" s="43" t="s">
        <v>42</v>
      </c>
      <c r="G58" s="43" t="s">
        <v>43</v>
      </c>
      <c r="H58" s="36"/>
      <c r="I58" s="36"/>
      <c r="J58" s="36"/>
      <c r="L58" s="36"/>
    </row>
    <row r="59" spans="2:12">
      <c r="B59" s="57" t="s">
        <v>88</v>
      </c>
      <c r="C59" s="564">
        <v>38.636550308008211</v>
      </c>
      <c r="D59" s="72">
        <v>41</v>
      </c>
      <c r="E59" s="68">
        <v>40.269863013698632</v>
      </c>
      <c r="F59" s="51">
        <v>40</v>
      </c>
      <c r="G59" s="51">
        <v>40</v>
      </c>
      <c r="H59" s="36"/>
      <c r="I59" s="36"/>
      <c r="J59" s="36"/>
      <c r="L59" s="36"/>
    </row>
    <row r="60" spans="2:12">
      <c r="B60" s="73"/>
      <c r="C60" s="73"/>
      <c r="I60" s="36"/>
      <c r="J60" s="36"/>
      <c r="K60" s="38"/>
      <c r="L60" s="36"/>
    </row>
    <row r="61" spans="2:12">
      <c r="B61" s="65"/>
      <c r="C61" s="65"/>
      <c r="I61" s="36"/>
      <c r="J61" s="36"/>
      <c r="K61" s="38"/>
      <c r="L61" s="36"/>
    </row>
    <row r="62" spans="2:12">
      <c r="I62" s="36"/>
      <c r="J62" s="36"/>
      <c r="K62" s="38"/>
      <c r="L62" s="36"/>
    </row>
    <row r="63" spans="2:12">
      <c r="I63" s="36"/>
      <c r="J63" s="36"/>
      <c r="K63" s="38"/>
      <c r="L63" s="36"/>
    </row>
    <row r="64" spans="2:12">
      <c r="I64" s="36"/>
      <c r="J64" s="36"/>
      <c r="K64" s="38"/>
      <c r="L64" s="36"/>
    </row>
    <row r="65" spans="4:12">
      <c r="I65" s="36"/>
      <c r="J65" s="36"/>
      <c r="K65" s="38"/>
      <c r="L65" s="36"/>
    </row>
    <row r="66" spans="4:12">
      <c r="D66" s="74"/>
      <c r="E66" s="74"/>
      <c r="K66" s="38"/>
      <c r="L66" s="36"/>
    </row>
    <row r="144" spans="2:13">
      <c r="B144" s="75" t="s">
        <v>89</v>
      </c>
      <c r="C144" s="75"/>
      <c r="D144" s="76"/>
      <c r="E144" s="76"/>
      <c r="F144" s="76"/>
      <c r="G144" s="76"/>
      <c r="H144" s="76"/>
      <c r="I144" s="76"/>
      <c r="J144" s="76"/>
      <c r="K144" s="75"/>
      <c r="L144" s="77"/>
      <c r="M144" s="75"/>
    </row>
  </sheetData>
  <sheetProtection algorithmName="SHA-512" hashValue="v6m+wcxqvUI0NDnSQDYqMIxoEvnpVlUCXesWxHlyyeKx8Pg292X+oVW8JnVy0isO9Q7opUJZT2vI96qI8Hvgjg==" saltValue="cV5VfmKT0Ej9T7GYCQr6Hg==" spinCount="100000" sheet="1" objects="1" scenarios="1"/>
  <mergeCells count="6">
    <mergeCell ref="B53:G53"/>
    <mergeCell ref="B26:J26"/>
    <mergeCell ref="B29:L29"/>
    <mergeCell ref="B30:L30"/>
    <mergeCell ref="D33:H33"/>
    <mergeCell ref="D44:G44"/>
  </mergeCells>
  <hyperlinks>
    <hyperlink ref="A1" location="'Data Pack Overview'!A1" display="H" xr:uid="{02881E85-F270-4644-A15E-0687DDE3D48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56FF0-A9CF-44A4-A413-E9A8F08E2186}">
  <sheetPr>
    <tabColor theme="4"/>
  </sheetPr>
  <dimension ref="A1:Q144"/>
  <sheetViews>
    <sheetView showGridLines="0" zoomScale="110" zoomScaleNormal="110" workbookViewId="0">
      <selection activeCell="D4" sqref="D4"/>
    </sheetView>
  </sheetViews>
  <sheetFormatPr defaultColWidth="8.5546875" defaultRowHeight="14.4"/>
  <cols>
    <col min="1" max="1" width="2.44140625" style="36" customWidth="1"/>
    <col min="2" max="2" width="44.44140625" style="36" customWidth="1"/>
    <col min="3" max="3" width="10.44140625" style="36" customWidth="1"/>
    <col min="4" max="10" width="10.5546875" style="36" customWidth="1"/>
    <col min="11" max="11" width="63.5546875" style="38" bestFit="1" customWidth="1"/>
    <col min="12" max="16384" width="8.5546875" style="36"/>
  </cols>
  <sheetData>
    <row r="1" spans="1:17" ht="14.85" customHeight="1">
      <c r="A1" s="18" t="s">
        <v>32</v>
      </c>
    </row>
    <row r="2" spans="1:17" ht="21">
      <c r="B2" s="39" t="s">
        <v>90</v>
      </c>
      <c r="C2" s="39"/>
      <c r="K2" s="36"/>
      <c r="L2" s="80"/>
      <c r="M2" s="80"/>
      <c r="N2" s="80"/>
      <c r="O2" s="80"/>
      <c r="P2" s="80"/>
      <c r="Q2" s="80"/>
    </row>
    <row r="3" spans="1:17">
      <c r="K3" s="36"/>
    </row>
    <row r="4" spans="1:17" ht="15.6">
      <c r="B4" s="81" t="s">
        <v>91</v>
      </c>
      <c r="C4" s="81"/>
      <c r="K4" s="36"/>
    </row>
    <row r="5" spans="1:17" s="82" customFormat="1" ht="75" customHeight="1">
      <c r="B5" s="792" t="s">
        <v>92</v>
      </c>
      <c r="C5" s="792"/>
      <c r="D5" s="792"/>
      <c r="E5" s="792"/>
      <c r="F5" s="792"/>
      <c r="G5" s="792"/>
      <c r="H5" s="792"/>
      <c r="I5" s="792"/>
    </row>
    <row r="6" spans="1:17">
      <c r="G6"/>
      <c r="H6"/>
      <c r="I6"/>
      <c r="J6"/>
      <c r="K6"/>
    </row>
    <row r="7" spans="1:17">
      <c r="B7" s="61" t="s">
        <v>93</v>
      </c>
      <c r="C7" s="62" t="s">
        <v>94</v>
      </c>
      <c r="D7" s="62" t="s">
        <v>95</v>
      </c>
      <c r="E7" s="62" t="s">
        <v>42</v>
      </c>
      <c r="F7" s="62" t="s">
        <v>43</v>
      </c>
      <c r="G7" s="62" t="s">
        <v>96</v>
      </c>
      <c r="H7"/>
      <c r="I7"/>
      <c r="J7"/>
      <c r="K7"/>
      <c r="L7" s="38"/>
    </row>
    <row r="8" spans="1:17" ht="24.6" customHeight="1">
      <c r="B8" s="57" t="s">
        <v>97</v>
      </c>
      <c r="C8" s="462">
        <v>40.78180949768992</v>
      </c>
      <c r="D8" s="50">
        <v>27.743055555555557</v>
      </c>
      <c r="E8" s="83">
        <v>40</v>
      </c>
      <c r="F8" s="51">
        <v>40</v>
      </c>
      <c r="G8" s="51">
        <v>39</v>
      </c>
      <c r="H8"/>
      <c r="I8"/>
      <c r="J8"/>
      <c r="K8"/>
      <c r="L8" s="48"/>
    </row>
    <row r="9" spans="1:17" ht="25.35" customHeight="1">
      <c r="B9" s="57" t="s">
        <v>98</v>
      </c>
      <c r="C9" s="110" t="s">
        <v>99</v>
      </c>
      <c r="D9" s="84">
        <v>-5.0207991100626375</v>
      </c>
      <c r="E9" s="83">
        <v>0.71</v>
      </c>
      <c r="F9" s="51">
        <v>-4.63</v>
      </c>
      <c r="G9" s="51">
        <v>-5.38</v>
      </c>
      <c r="H9"/>
      <c r="I9"/>
      <c r="J9"/>
      <c r="K9"/>
      <c r="L9" s="38"/>
    </row>
    <row r="10" spans="1:17">
      <c r="B10" s="85"/>
      <c r="C10" s="85"/>
      <c r="D10" s="85"/>
      <c r="E10" s="85"/>
      <c r="F10" s="85"/>
      <c r="G10" s="85"/>
      <c r="H10" s="85"/>
      <c r="I10" s="85"/>
    </row>
    <row r="11" spans="1:17" ht="36.6" customHeight="1">
      <c r="B11" s="797" t="s">
        <v>100</v>
      </c>
      <c r="C11" s="797"/>
      <c r="D11" s="797"/>
      <c r="E11" s="797"/>
      <c r="F11" s="797"/>
      <c r="G11" s="797"/>
      <c r="H11" s="797"/>
      <c r="I11" s="797"/>
      <c r="K11" s="48"/>
    </row>
    <row r="12" spans="1:17">
      <c r="B12" s="797" t="s">
        <v>101</v>
      </c>
      <c r="C12" s="797"/>
      <c r="D12" s="797"/>
      <c r="E12" s="797"/>
      <c r="F12" s="797"/>
      <c r="G12" s="797"/>
      <c r="H12" s="797"/>
      <c r="I12" s="797"/>
      <c r="K12" s="48"/>
    </row>
    <row r="13" spans="1:17">
      <c r="B13" s="800" t="s">
        <v>102</v>
      </c>
      <c r="C13" s="800"/>
      <c r="D13" s="800"/>
      <c r="E13" s="800"/>
      <c r="F13" s="800"/>
      <c r="G13" s="800"/>
      <c r="H13" s="800"/>
      <c r="I13" s="800"/>
      <c r="K13" s="48"/>
    </row>
    <row r="14" spans="1:17" ht="25.2" customHeight="1">
      <c r="B14" s="800" t="s">
        <v>103</v>
      </c>
      <c r="C14" s="800"/>
      <c r="D14" s="800"/>
      <c r="E14" s="800"/>
      <c r="F14" s="800"/>
      <c r="G14" s="800"/>
      <c r="H14" s="800"/>
      <c r="I14" s="800"/>
    </row>
    <row r="15" spans="1:17">
      <c r="B15" s="38" t="s">
        <v>104</v>
      </c>
      <c r="D15" s="85"/>
    </row>
    <row r="17" spans="11:11">
      <c r="K17" s="48"/>
    </row>
    <row r="18" spans="11:11">
      <c r="K18" s="59"/>
    </row>
    <row r="19" spans="11:11">
      <c r="K19" s="48"/>
    </row>
    <row r="20" spans="11:11">
      <c r="K20" s="48"/>
    </row>
    <row r="21" spans="11:11">
      <c r="K21" s="48"/>
    </row>
    <row r="22" spans="11:11">
      <c r="K22" s="48"/>
    </row>
    <row r="23" spans="11:11">
      <c r="K23" s="48"/>
    </row>
    <row r="24" spans="11:11">
      <c r="K24" s="48"/>
    </row>
    <row r="25" spans="11:11">
      <c r="K25" s="48"/>
    </row>
    <row r="26" spans="11:11">
      <c r="K26" s="48"/>
    </row>
    <row r="27" spans="11:11">
      <c r="K27" s="48"/>
    </row>
    <row r="29" spans="11:11">
      <c r="K29" s="48"/>
    </row>
    <row r="30" spans="11:11">
      <c r="K30" s="48"/>
    </row>
    <row r="31" spans="11:11">
      <c r="K31" s="48"/>
    </row>
    <row r="32" spans="11:11">
      <c r="K32" s="36"/>
    </row>
    <row r="33" spans="11:11">
      <c r="K33" s="48"/>
    </row>
    <row r="34" spans="11:11">
      <c r="K34" s="48"/>
    </row>
    <row r="35" spans="11:11">
      <c r="K35" s="48"/>
    </row>
    <row r="36" spans="11:11">
      <c r="K36" s="48"/>
    </row>
    <row r="37" spans="11:11">
      <c r="K37" s="48"/>
    </row>
    <row r="38" spans="11:11">
      <c r="K38" s="48"/>
    </row>
    <row r="39" spans="11:11">
      <c r="K39" s="48"/>
    </row>
    <row r="40" spans="11:11">
      <c r="K40" s="48"/>
    </row>
    <row r="41" spans="11:11">
      <c r="K41" s="48"/>
    </row>
    <row r="42" spans="11:11">
      <c r="K42" s="48"/>
    </row>
    <row r="43" spans="11:11">
      <c r="K43" s="48"/>
    </row>
    <row r="44" spans="11:11">
      <c r="K44" s="48"/>
    </row>
    <row r="144" spans="2:13">
      <c r="B144" s="75" t="s">
        <v>89</v>
      </c>
      <c r="C144" s="75"/>
      <c r="D144" s="75"/>
      <c r="E144" s="75"/>
      <c r="F144" s="75"/>
      <c r="G144" s="75"/>
      <c r="H144" s="75"/>
      <c r="I144" s="75"/>
      <c r="J144" s="75"/>
      <c r="K144" s="77"/>
      <c r="L144" s="75"/>
      <c r="M144" s="75"/>
    </row>
  </sheetData>
  <sheetProtection algorithmName="SHA-512" hashValue="mPMhaK5l4RUz8y+eQ+H2SmII0F1qleTeNFITtCtNMhPmOl50C5jB/FbSyGc0A+4lq99a5xUfd61Uqm1VLVw/rQ==" saltValue="El+4T2XqDgeYlBftR5gkKw==" spinCount="100000" sheet="1" objects="1" scenarios="1"/>
  <mergeCells count="5">
    <mergeCell ref="B5:I5"/>
    <mergeCell ref="B11:I11"/>
    <mergeCell ref="B12:I12"/>
    <mergeCell ref="B13:I13"/>
    <mergeCell ref="B14:I14"/>
  </mergeCells>
  <hyperlinks>
    <hyperlink ref="A1" location="'Data Pack Overview'!A1" display="H" xr:uid="{BCE47CBF-A5DF-4622-83B8-AF400281A5CF}"/>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1A47-7B71-4AEB-9469-8992DD044D0A}">
  <sheetPr>
    <tabColor theme="4"/>
    <pageSetUpPr fitToPage="1"/>
  </sheetPr>
  <dimension ref="A1:Z139"/>
  <sheetViews>
    <sheetView showGridLines="0" tabSelected="1" zoomScale="110" zoomScaleNormal="110" workbookViewId="0">
      <selection activeCell="D2" sqref="D2"/>
    </sheetView>
  </sheetViews>
  <sheetFormatPr defaultColWidth="8.5546875" defaultRowHeight="14.4"/>
  <cols>
    <col min="1" max="1" width="2.33203125" style="82" bestFit="1" customWidth="1"/>
    <col min="2" max="2" width="31.5546875" style="86" customWidth="1"/>
    <col min="3" max="3" width="12.5546875" style="86" customWidth="1"/>
    <col min="4" max="4" width="13.44140625" style="86" customWidth="1"/>
    <col min="5" max="5" width="12.44140625" style="86" customWidth="1"/>
    <col min="6" max="6" width="12.44140625" style="87" customWidth="1"/>
    <col min="7" max="7" width="12.5546875" style="87" customWidth="1"/>
    <col min="8" max="9" width="10.5546875" style="87" customWidth="1"/>
    <col min="10" max="10" width="10.44140625" style="87" customWidth="1"/>
    <col min="11" max="11" width="8.44140625" style="82" customWidth="1"/>
    <col min="12" max="12" width="10.44140625" style="88" customWidth="1"/>
    <col min="13" max="14" width="9.5546875" style="82" customWidth="1"/>
    <col min="15" max="16384" width="8.5546875" style="82"/>
  </cols>
  <sheetData>
    <row r="1" spans="1:19" ht="14.85" customHeight="1">
      <c r="A1" s="18" t="s">
        <v>32</v>
      </c>
    </row>
    <row r="2" spans="1:19" ht="21">
      <c r="B2" s="39" t="s">
        <v>105</v>
      </c>
      <c r="C2" s="39"/>
      <c r="D2" s="39"/>
      <c r="E2" s="39"/>
      <c r="L2" s="36"/>
      <c r="M2" s="80"/>
      <c r="N2" s="80"/>
      <c r="O2" s="80"/>
      <c r="P2" s="80"/>
      <c r="Q2" s="80"/>
      <c r="R2" s="80"/>
      <c r="S2" s="36"/>
    </row>
    <row r="3" spans="1:19" ht="12" customHeight="1">
      <c r="L3" s="36"/>
      <c r="M3" s="36"/>
      <c r="N3" s="36"/>
      <c r="O3" s="36"/>
      <c r="P3" s="36"/>
      <c r="Q3" s="36"/>
      <c r="R3" s="36"/>
      <c r="S3" s="36"/>
    </row>
    <row r="4" spans="1:19" ht="15.6">
      <c r="B4" s="89" t="s">
        <v>106</v>
      </c>
      <c r="C4" s="89"/>
      <c r="D4" s="89"/>
      <c r="E4" s="89"/>
      <c r="L4" s="36"/>
      <c r="M4" s="36"/>
      <c r="N4" s="36"/>
      <c r="O4" s="36"/>
      <c r="P4" s="36"/>
      <c r="Q4" s="36"/>
      <c r="R4" s="36"/>
      <c r="S4" s="36"/>
    </row>
    <row r="5" spans="1:19" ht="31.5" customHeight="1">
      <c r="B5" s="801" t="s">
        <v>107</v>
      </c>
      <c r="C5" s="801"/>
      <c r="D5" s="801"/>
      <c r="E5" s="801"/>
      <c r="F5" s="801"/>
      <c r="G5" s="801"/>
      <c r="H5" s="801"/>
      <c r="I5" s="801"/>
      <c r="J5" s="801"/>
      <c r="L5" s="36"/>
      <c r="M5" s="36"/>
      <c r="N5" s="36"/>
      <c r="O5" s="36"/>
      <c r="P5" s="36"/>
      <c r="Q5" s="36"/>
      <c r="R5" s="36"/>
      <c r="S5" s="36"/>
    </row>
    <row r="6" spans="1:19">
      <c r="L6" s="36"/>
      <c r="M6" s="36"/>
      <c r="N6" s="36"/>
      <c r="O6" s="36"/>
      <c r="P6" s="36"/>
      <c r="Q6" s="36"/>
      <c r="R6" s="36"/>
      <c r="S6" s="36"/>
    </row>
    <row r="7" spans="1:19" ht="14.85" customHeight="1">
      <c r="B7" s="90" t="s">
        <v>108</v>
      </c>
      <c r="C7" s="91" t="s">
        <v>39</v>
      </c>
      <c r="D7" s="91" t="s">
        <v>109</v>
      </c>
      <c r="E7" s="91" t="s">
        <v>110</v>
      </c>
      <c r="F7" s="43" t="s">
        <v>111</v>
      </c>
      <c r="G7" s="43" t="s">
        <v>42</v>
      </c>
      <c r="H7" s="43" t="s">
        <v>43</v>
      </c>
      <c r="I7" s="802" t="s">
        <v>112</v>
      </c>
      <c r="J7" s="802"/>
      <c r="K7" s="802"/>
      <c r="L7" s="802"/>
      <c r="M7" s="802"/>
      <c r="N7" s="802"/>
    </row>
    <row r="8" spans="1:19" ht="16.350000000000001" customHeight="1">
      <c r="B8" s="92" t="s">
        <v>113</v>
      </c>
      <c r="C8" s="93"/>
      <c r="D8" s="93"/>
      <c r="E8" s="93"/>
      <c r="F8" s="94"/>
      <c r="G8" s="95"/>
      <c r="H8" s="95"/>
      <c r="I8" s="95"/>
      <c r="J8" s="95"/>
      <c r="K8" s="95"/>
      <c r="L8" s="95"/>
      <c r="M8" s="95"/>
      <c r="N8" s="96"/>
    </row>
    <row r="9" spans="1:19" ht="15" customHeight="1">
      <c r="B9" s="803" t="s">
        <v>113</v>
      </c>
      <c r="C9" s="465" t="s">
        <v>114</v>
      </c>
      <c r="D9" s="804"/>
      <c r="E9" s="97">
        <v>0.82</v>
      </c>
      <c r="F9" s="805">
        <v>0.83</v>
      </c>
      <c r="G9" s="805">
        <v>0.82</v>
      </c>
      <c r="H9" s="806">
        <v>0.81</v>
      </c>
      <c r="I9" s="807" t="s">
        <v>115</v>
      </c>
      <c r="J9" s="807"/>
      <c r="K9" s="807"/>
      <c r="L9" s="807"/>
      <c r="M9" s="807"/>
      <c r="N9" s="807"/>
    </row>
    <row r="10" spans="1:19" ht="20.7" customHeight="1">
      <c r="B10" s="803"/>
      <c r="C10" s="51" t="s">
        <v>116</v>
      </c>
      <c r="D10" s="804"/>
      <c r="E10" s="51" t="s">
        <v>117</v>
      </c>
      <c r="F10" s="805"/>
      <c r="G10" s="805"/>
      <c r="H10" s="806"/>
      <c r="I10" s="808"/>
      <c r="J10" s="808"/>
      <c r="K10" s="808"/>
      <c r="L10" s="808"/>
      <c r="M10" s="808"/>
      <c r="N10" s="808"/>
    </row>
    <row r="11" spans="1:19">
      <c r="B11" s="809" t="s">
        <v>118</v>
      </c>
      <c r="C11" s="98" t="s">
        <v>119</v>
      </c>
      <c r="D11" s="810"/>
      <c r="E11" s="98">
        <v>0.96</v>
      </c>
      <c r="F11" s="811">
        <v>0.96</v>
      </c>
      <c r="G11" s="812">
        <v>0.97</v>
      </c>
      <c r="H11" s="813">
        <v>0.96</v>
      </c>
      <c r="I11" s="808"/>
      <c r="J11" s="808"/>
      <c r="K11" s="808"/>
      <c r="L11" s="808"/>
      <c r="M11" s="808"/>
      <c r="N11" s="808"/>
    </row>
    <row r="12" spans="1:19" ht="20.7" customHeight="1">
      <c r="B12" s="809"/>
      <c r="C12" s="51" t="s">
        <v>117</v>
      </c>
      <c r="D12" s="810"/>
      <c r="E12" s="51" t="s">
        <v>117</v>
      </c>
      <c r="F12" s="811"/>
      <c r="G12" s="812" t="s">
        <v>120</v>
      </c>
      <c r="H12" s="813"/>
      <c r="I12" s="808"/>
      <c r="J12" s="808"/>
      <c r="K12" s="808"/>
      <c r="L12" s="808"/>
      <c r="M12" s="808"/>
      <c r="N12" s="808"/>
    </row>
    <row r="13" spans="1:19">
      <c r="B13" s="809" t="s">
        <v>121</v>
      </c>
      <c r="C13" s="98" t="s">
        <v>122</v>
      </c>
      <c r="D13" s="810"/>
      <c r="E13" s="98">
        <v>0.92</v>
      </c>
      <c r="F13" s="811">
        <v>0.93</v>
      </c>
      <c r="G13" s="812">
        <v>0.89</v>
      </c>
      <c r="H13" s="813">
        <v>0.92</v>
      </c>
      <c r="I13" s="808"/>
      <c r="J13" s="808"/>
      <c r="K13" s="808"/>
      <c r="L13" s="808"/>
      <c r="M13" s="808"/>
      <c r="N13" s="808"/>
    </row>
    <row r="14" spans="1:19" ht="20.7" customHeight="1">
      <c r="B14" s="809"/>
      <c r="C14" s="51" t="s">
        <v>116</v>
      </c>
      <c r="D14" s="810"/>
      <c r="E14" s="51" t="s">
        <v>123</v>
      </c>
      <c r="F14" s="811"/>
      <c r="G14" s="812"/>
      <c r="H14" s="813"/>
      <c r="I14" s="808"/>
      <c r="J14" s="808"/>
      <c r="K14" s="808"/>
      <c r="L14" s="808"/>
      <c r="M14" s="808"/>
      <c r="N14" s="808"/>
    </row>
    <row r="15" spans="1:19" ht="16.350000000000001" customHeight="1">
      <c r="B15" s="92" t="s">
        <v>124</v>
      </c>
      <c r="C15" s="93"/>
      <c r="D15" s="93"/>
      <c r="E15" s="93"/>
      <c r="F15" s="94"/>
      <c r="G15" s="95"/>
      <c r="H15" s="95"/>
      <c r="I15" s="95"/>
      <c r="J15" s="95"/>
      <c r="K15" s="95"/>
      <c r="L15" s="95"/>
      <c r="M15" s="95"/>
      <c r="N15" s="96"/>
    </row>
    <row r="16" spans="1:19" ht="14.85" customHeight="1">
      <c r="B16" s="814" t="s">
        <v>125</v>
      </c>
      <c r="C16" s="810"/>
      <c r="D16" s="97">
        <v>0.85</v>
      </c>
      <c r="E16" s="810"/>
      <c r="F16" s="812">
        <v>0.9</v>
      </c>
      <c r="G16" s="812">
        <v>0.82</v>
      </c>
      <c r="H16" s="812">
        <v>0.87</v>
      </c>
      <c r="I16" s="807" t="s">
        <v>126</v>
      </c>
      <c r="J16" s="807"/>
      <c r="K16" s="807"/>
      <c r="L16" s="807"/>
      <c r="M16" s="807"/>
      <c r="N16" s="807"/>
    </row>
    <row r="17" spans="2:14" ht="34.5" customHeight="1">
      <c r="B17" s="814"/>
      <c r="C17" s="810"/>
      <c r="D17" s="51" t="s">
        <v>117</v>
      </c>
      <c r="E17" s="810"/>
      <c r="F17" s="812"/>
      <c r="G17" s="812"/>
      <c r="H17" s="812"/>
      <c r="I17" s="808"/>
      <c r="J17" s="808"/>
      <c r="K17" s="808"/>
      <c r="L17" s="808"/>
      <c r="M17" s="808"/>
      <c r="N17" s="808"/>
    </row>
    <row r="18" spans="2:14" ht="15" customHeight="1">
      <c r="B18" s="818" t="s">
        <v>16</v>
      </c>
      <c r="C18" s="83" t="s">
        <v>127</v>
      </c>
      <c r="D18" s="98">
        <v>0.9</v>
      </c>
      <c r="E18" s="817"/>
      <c r="F18" s="812">
        <v>0.85</v>
      </c>
      <c r="G18" s="812">
        <v>0.86</v>
      </c>
      <c r="H18" s="813">
        <v>0.86</v>
      </c>
      <c r="I18" s="807" t="s">
        <v>128</v>
      </c>
      <c r="J18" s="807"/>
      <c r="K18" s="807"/>
      <c r="L18" s="807"/>
      <c r="M18" s="807"/>
      <c r="N18" s="807"/>
    </row>
    <row r="19" spans="2:14" ht="62.25" customHeight="1">
      <c r="B19" s="818"/>
      <c r="C19" s="83" t="s">
        <v>129</v>
      </c>
      <c r="D19" s="83" t="s">
        <v>129</v>
      </c>
      <c r="E19" s="817"/>
      <c r="F19" s="812"/>
      <c r="G19" s="812" t="s">
        <v>130</v>
      </c>
      <c r="H19" s="813"/>
      <c r="I19" s="808"/>
      <c r="J19" s="808"/>
      <c r="K19" s="808"/>
      <c r="L19" s="808"/>
      <c r="M19" s="808"/>
      <c r="N19" s="808"/>
    </row>
    <row r="20" spans="2:14" ht="14.85" customHeight="1">
      <c r="B20" s="814" t="s">
        <v>131</v>
      </c>
      <c r="C20" s="99" t="s">
        <v>132</v>
      </c>
      <c r="D20" s="99">
        <v>0.87</v>
      </c>
      <c r="E20" s="817"/>
      <c r="F20" s="810"/>
      <c r="G20" s="812">
        <v>0.93</v>
      </c>
      <c r="H20" s="813">
        <v>0.93</v>
      </c>
      <c r="I20" s="807" t="s">
        <v>133</v>
      </c>
      <c r="J20" s="807"/>
      <c r="K20" s="807"/>
      <c r="L20" s="807"/>
      <c r="M20" s="807"/>
      <c r="N20" s="807"/>
    </row>
    <row r="21" spans="2:14" ht="33.75" customHeight="1">
      <c r="B21" s="814"/>
      <c r="C21" s="83" t="s">
        <v>134</v>
      </c>
      <c r="D21" s="83" t="s">
        <v>135</v>
      </c>
      <c r="E21" s="817"/>
      <c r="F21" s="810"/>
      <c r="G21" s="812"/>
      <c r="H21" s="813"/>
      <c r="I21" s="808"/>
      <c r="J21" s="808"/>
      <c r="K21" s="808"/>
      <c r="L21" s="808"/>
      <c r="M21" s="808"/>
      <c r="N21" s="808"/>
    </row>
    <row r="22" spans="2:14" ht="14.85" customHeight="1">
      <c r="B22" s="815" t="s">
        <v>136</v>
      </c>
      <c r="C22" s="100" t="s">
        <v>137</v>
      </c>
      <c r="D22" s="100">
        <v>0.66</v>
      </c>
      <c r="E22" s="100">
        <v>0.68</v>
      </c>
      <c r="F22" s="816"/>
      <c r="G22" s="816"/>
      <c r="H22" s="816"/>
      <c r="I22" s="807" t="s">
        <v>138</v>
      </c>
      <c r="J22" s="807"/>
      <c r="K22" s="807"/>
      <c r="L22" s="807"/>
      <c r="M22" s="807"/>
      <c r="N22" s="807"/>
    </row>
    <row r="23" spans="2:14" ht="45.6" customHeight="1">
      <c r="B23" s="815"/>
      <c r="C23" s="101" t="s">
        <v>123</v>
      </c>
      <c r="D23" s="101" t="s">
        <v>139</v>
      </c>
      <c r="E23" s="101" t="s">
        <v>135</v>
      </c>
      <c r="F23" s="816"/>
      <c r="G23" s="816"/>
      <c r="H23" s="816"/>
      <c r="I23" s="808"/>
      <c r="J23" s="808"/>
      <c r="K23" s="808"/>
      <c r="L23" s="808"/>
      <c r="M23" s="808"/>
      <c r="N23" s="808"/>
    </row>
    <row r="24" spans="2:14" ht="14.85" customHeight="1">
      <c r="B24" s="815" t="s">
        <v>140</v>
      </c>
      <c r="C24" s="100" t="s">
        <v>141</v>
      </c>
      <c r="D24" s="100">
        <v>0.73</v>
      </c>
      <c r="E24" s="100">
        <v>0.78</v>
      </c>
      <c r="F24" s="820">
        <v>0.84</v>
      </c>
      <c r="G24" s="816"/>
      <c r="H24" s="816"/>
      <c r="I24" s="807" t="s">
        <v>142</v>
      </c>
      <c r="J24" s="807"/>
      <c r="K24" s="807"/>
      <c r="L24" s="807"/>
      <c r="M24" s="807"/>
      <c r="N24" s="807"/>
    </row>
    <row r="25" spans="2:14" ht="45" customHeight="1">
      <c r="B25" s="815"/>
      <c r="C25" s="101" t="s">
        <v>134</v>
      </c>
      <c r="D25" s="101" t="s">
        <v>143</v>
      </c>
      <c r="E25" s="101" t="s">
        <v>129</v>
      </c>
      <c r="F25" s="820"/>
      <c r="G25" s="816"/>
      <c r="H25" s="816"/>
      <c r="I25" s="808"/>
      <c r="J25" s="808"/>
      <c r="K25" s="808"/>
      <c r="L25" s="808"/>
      <c r="M25" s="808"/>
      <c r="N25" s="808"/>
    </row>
    <row r="26" spans="2:14" ht="14.85" customHeight="1">
      <c r="B26" s="818" t="s">
        <v>144</v>
      </c>
      <c r="C26" s="827"/>
      <c r="D26" s="98">
        <v>0.77</v>
      </c>
      <c r="E26" s="98">
        <v>0.79</v>
      </c>
      <c r="F26" s="813">
        <v>0.75</v>
      </c>
      <c r="G26" s="813">
        <v>0.7</v>
      </c>
      <c r="H26" s="813">
        <v>0.67</v>
      </c>
      <c r="I26" s="807" t="s">
        <v>145</v>
      </c>
      <c r="J26" s="807"/>
      <c r="K26" s="807"/>
      <c r="L26" s="807"/>
      <c r="M26" s="807"/>
      <c r="N26" s="807"/>
    </row>
    <row r="27" spans="2:14" ht="27.6" customHeight="1">
      <c r="B27" s="818"/>
      <c r="C27" s="827"/>
      <c r="D27" s="51" t="s">
        <v>143</v>
      </c>
      <c r="E27" s="51" t="s">
        <v>146</v>
      </c>
      <c r="F27" s="813"/>
      <c r="G27" s="813">
        <v>0.7</v>
      </c>
      <c r="H27" s="813">
        <v>0.67</v>
      </c>
      <c r="I27" s="808"/>
      <c r="J27" s="808"/>
      <c r="K27" s="808"/>
      <c r="L27" s="808"/>
      <c r="M27" s="808"/>
      <c r="N27" s="808"/>
    </row>
    <row r="28" spans="2:14">
      <c r="B28" s="102"/>
      <c r="C28" s="102"/>
      <c r="D28" s="102"/>
      <c r="E28" s="102"/>
      <c r="L28" s="103"/>
    </row>
    <row r="29" spans="2:14">
      <c r="B29" s="104" t="s">
        <v>147</v>
      </c>
      <c r="C29" s="102"/>
      <c r="D29" s="102"/>
      <c r="E29" s="102"/>
      <c r="L29" s="103"/>
    </row>
    <row r="30" spans="2:14">
      <c r="B30" s="105"/>
      <c r="C30" s="102"/>
      <c r="D30" s="102"/>
      <c r="E30" s="102"/>
      <c r="L30" s="103"/>
    </row>
    <row r="31" spans="2:14" ht="15.6">
      <c r="B31" s="41" t="s">
        <v>148</v>
      </c>
      <c r="C31" s="526"/>
      <c r="D31" s="41"/>
      <c r="E31" s="41"/>
      <c r="L31" s="103"/>
    </row>
    <row r="32" spans="2:14">
      <c r="B32" s="106"/>
      <c r="C32" s="106"/>
      <c r="D32" s="106"/>
      <c r="E32" s="106"/>
      <c r="F32" s="107"/>
      <c r="G32" s="107"/>
      <c r="H32" s="107"/>
      <c r="I32" s="107"/>
      <c r="J32" s="107"/>
      <c r="K32" s="108"/>
      <c r="L32" s="103"/>
    </row>
    <row r="33" spans="2:12">
      <c r="B33" s="61" t="s">
        <v>149</v>
      </c>
      <c r="C33" s="62" t="s">
        <v>39</v>
      </c>
      <c r="D33" s="62" t="s">
        <v>40</v>
      </c>
      <c r="E33" s="62" t="s">
        <v>41</v>
      </c>
      <c r="F33" s="62" t="s">
        <v>42</v>
      </c>
      <c r="G33" s="62" t="s">
        <v>43</v>
      </c>
      <c r="H33" s="88"/>
      <c r="I33" s="82"/>
      <c r="J33" s="82"/>
      <c r="L33" s="82"/>
    </row>
    <row r="34" spans="2:12">
      <c r="B34" s="109" t="s">
        <v>150</v>
      </c>
      <c r="C34" s="110">
        <v>4.0978664106333538</v>
      </c>
      <c r="D34" s="110">
        <v>4.0851518258250792</v>
      </c>
      <c r="E34" s="83">
        <v>4.0999999999999996</v>
      </c>
      <c r="F34" s="111">
        <v>5</v>
      </c>
      <c r="G34" s="51">
        <v>4.5</v>
      </c>
      <c r="H34" s="88"/>
      <c r="I34" s="82"/>
      <c r="J34" s="82"/>
      <c r="L34" s="82"/>
    </row>
    <row r="35" spans="2:12">
      <c r="F35" s="112"/>
    </row>
    <row r="36" spans="2:12" ht="23.85" customHeight="1">
      <c r="B36" s="797" t="s">
        <v>151</v>
      </c>
      <c r="C36" s="797"/>
      <c r="D36" s="797"/>
      <c r="E36" s="797"/>
      <c r="F36" s="797"/>
      <c r="G36" s="797"/>
      <c r="H36" s="797"/>
      <c r="I36" s="797"/>
      <c r="J36" s="113"/>
      <c r="K36" s="113"/>
      <c r="L36" s="113"/>
    </row>
    <row r="37" spans="2:12">
      <c r="B37" s="102"/>
      <c r="C37" s="102"/>
      <c r="D37" s="102"/>
      <c r="E37" s="102"/>
      <c r="F37" s="112"/>
    </row>
    <row r="38" spans="2:12" ht="18">
      <c r="B38" s="41" t="s">
        <v>152</v>
      </c>
      <c r="C38" s="41"/>
      <c r="D38" s="41"/>
      <c r="E38" s="41"/>
    </row>
    <row r="39" spans="2:12">
      <c r="J39" s="82"/>
      <c r="L39" s="82"/>
    </row>
    <row r="40" spans="2:12">
      <c r="B40" s="61" t="s">
        <v>153</v>
      </c>
      <c r="C40" s="62" t="s">
        <v>81</v>
      </c>
      <c r="D40" s="62" t="s">
        <v>82</v>
      </c>
      <c r="E40" s="62" t="s">
        <v>83</v>
      </c>
      <c r="F40" s="62" t="s">
        <v>84</v>
      </c>
      <c r="G40" s="62" t="s">
        <v>85</v>
      </c>
      <c r="H40" s="62" t="s">
        <v>154</v>
      </c>
      <c r="I40" s="88"/>
      <c r="J40" s="82"/>
      <c r="L40" s="82"/>
    </row>
    <row r="41" spans="2:12">
      <c r="B41" s="109" t="s">
        <v>155</v>
      </c>
      <c r="C41" s="83">
        <v>55</v>
      </c>
      <c r="D41" s="83">
        <v>148</v>
      </c>
      <c r="E41" s="83">
        <v>124</v>
      </c>
      <c r="F41" s="83">
        <v>54</v>
      </c>
      <c r="G41" s="83">
        <v>25</v>
      </c>
      <c r="H41" s="83">
        <v>3</v>
      </c>
      <c r="I41" s="88"/>
      <c r="J41" s="82"/>
      <c r="L41" s="82"/>
    </row>
    <row r="42" spans="2:12">
      <c r="B42" s="109" t="s">
        <v>156</v>
      </c>
      <c r="C42" s="114">
        <v>0.13447432762836187</v>
      </c>
      <c r="D42" s="114">
        <v>0.36185819070904646</v>
      </c>
      <c r="E42" s="114">
        <v>0.30317848410757947</v>
      </c>
      <c r="F42" s="114">
        <v>0.13202933985330073</v>
      </c>
      <c r="G42" s="114">
        <v>6.1124694376528114E-2</v>
      </c>
      <c r="H42" s="114">
        <v>7.3349633251833741E-3</v>
      </c>
      <c r="I42" s="88"/>
      <c r="J42" s="82"/>
      <c r="L42" s="82"/>
    </row>
    <row r="43" spans="2:12">
      <c r="B43" s="316"/>
      <c r="C43" s="734"/>
      <c r="D43" s="734"/>
      <c r="E43" s="734"/>
      <c r="F43" s="734"/>
      <c r="G43" s="734"/>
      <c r="H43" s="734"/>
      <c r="I43" s="88"/>
      <c r="J43" s="82"/>
      <c r="L43" s="82"/>
    </row>
    <row r="44" spans="2:12">
      <c r="B44" s="800" t="s">
        <v>157</v>
      </c>
      <c r="C44" s="800"/>
      <c r="D44" s="800"/>
      <c r="E44" s="800"/>
      <c r="F44" s="800"/>
      <c r="G44" s="800"/>
      <c r="H44" s="800"/>
      <c r="I44" s="800"/>
      <c r="J44" s="82"/>
      <c r="L44" s="82"/>
    </row>
    <row r="45" spans="2:12" ht="15.6">
      <c r="B45" s="41" t="s">
        <v>158</v>
      </c>
      <c r="C45" s="41"/>
      <c r="D45" s="41"/>
      <c r="E45" s="41"/>
    </row>
    <row r="47" spans="2:12">
      <c r="B47" s="61" t="s">
        <v>159</v>
      </c>
      <c r="C47" s="62" t="s">
        <v>160</v>
      </c>
      <c r="D47" s="62" t="s">
        <v>161</v>
      </c>
      <c r="E47" s="87"/>
      <c r="J47" s="82"/>
      <c r="L47" s="82"/>
    </row>
    <row r="48" spans="2:12">
      <c r="B48" s="109" t="s">
        <v>155</v>
      </c>
      <c r="C48" s="83">
        <v>176</v>
      </c>
      <c r="D48" s="83">
        <v>233</v>
      </c>
      <c r="E48" s="87"/>
      <c r="J48" s="82"/>
      <c r="L48" s="82"/>
    </row>
    <row r="49" spans="2:12">
      <c r="B49" s="109" t="s">
        <v>156</v>
      </c>
      <c r="C49" s="114">
        <v>0.43031784841075793</v>
      </c>
      <c r="D49" s="114">
        <v>0.56968215158924207</v>
      </c>
      <c r="E49" s="87"/>
      <c r="J49" s="82"/>
      <c r="L49" s="82"/>
    </row>
    <row r="50" spans="2:12">
      <c r="B50" s="79"/>
      <c r="C50" s="545"/>
      <c r="D50" s="545"/>
      <c r="E50" s="102"/>
    </row>
    <row r="51" spans="2:12" ht="15.6">
      <c r="B51" s="41" t="s">
        <v>162</v>
      </c>
      <c r="C51" s="526"/>
      <c r="D51" s="41"/>
      <c r="E51" s="41"/>
    </row>
    <row r="53" spans="2:12">
      <c r="B53" s="61" t="s">
        <v>163</v>
      </c>
      <c r="C53" s="62" t="s">
        <v>39</v>
      </c>
      <c r="D53" s="62" t="s">
        <v>40</v>
      </c>
      <c r="E53" s="62" t="s">
        <v>41</v>
      </c>
      <c r="F53" s="62" t="s">
        <v>42</v>
      </c>
      <c r="G53" s="62" t="s">
        <v>164</v>
      </c>
      <c r="H53" s="88"/>
      <c r="I53" s="82"/>
      <c r="J53" s="82"/>
      <c r="L53" s="82"/>
    </row>
    <row r="54" spans="2:12">
      <c r="B54" s="821" t="s">
        <v>165</v>
      </c>
      <c r="C54" s="116">
        <v>0.16917808219178082</v>
      </c>
      <c r="D54" s="115">
        <v>0.20223018315757613</v>
      </c>
      <c r="E54" s="116">
        <v>0.13468697123519457</v>
      </c>
      <c r="F54" s="117">
        <v>0.12072983573011994</v>
      </c>
      <c r="G54" s="117">
        <v>0.16340369681723724</v>
      </c>
      <c r="H54" s="88"/>
      <c r="I54" s="82"/>
      <c r="J54" s="82"/>
      <c r="L54" s="82"/>
    </row>
    <row r="55" spans="2:12">
      <c r="B55" s="822"/>
      <c r="C55" s="118" t="s">
        <v>166</v>
      </c>
      <c r="D55" s="118" t="s">
        <v>167</v>
      </c>
      <c r="E55" s="119">
        <v>-199</v>
      </c>
      <c r="F55" s="120">
        <v>-177</v>
      </c>
      <c r="G55" s="120">
        <v>-249</v>
      </c>
      <c r="H55" s="88"/>
      <c r="I55" s="82"/>
      <c r="J55" s="82"/>
      <c r="L55" s="82"/>
    </row>
    <row r="56" spans="2:12" ht="14.25" customHeight="1">
      <c r="B56" s="823" t="s">
        <v>168</v>
      </c>
      <c r="C56" s="121">
        <v>0.11142857142857143</v>
      </c>
      <c r="D56" s="115">
        <v>1.9230769230769232E-2</v>
      </c>
      <c r="E56" s="121">
        <v>7.9019571977318459E-2</v>
      </c>
      <c r="F56" s="117">
        <v>9.2009685230024216E-2</v>
      </c>
      <c r="G56" s="117">
        <v>0.13930540775853731</v>
      </c>
      <c r="H56" s="88"/>
      <c r="I56" s="82"/>
      <c r="J56" s="82"/>
      <c r="L56" s="82"/>
    </row>
    <row r="57" spans="2:12">
      <c r="B57" s="824"/>
      <c r="C57" s="118" t="s">
        <v>169</v>
      </c>
      <c r="D57" s="118" t="s">
        <v>170</v>
      </c>
      <c r="E57" s="119">
        <v>-72</v>
      </c>
      <c r="F57" s="120">
        <v>-76</v>
      </c>
      <c r="G57" s="120">
        <v>-120</v>
      </c>
      <c r="H57" s="88"/>
      <c r="I57" s="82"/>
      <c r="J57" s="82"/>
      <c r="L57" s="82"/>
    </row>
    <row r="58" spans="2:12">
      <c r="B58" s="821" t="s">
        <v>171</v>
      </c>
      <c r="C58" s="116">
        <v>4.3150684931506852E-2</v>
      </c>
      <c r="D58" s="115">
        <v>3.8750693778697221E-2</v>
      </c>
      <c r="E58" s="116">
        <v>3.654822335025381E-2</v>
      </c>
      <c r="F58" s="117">
        <v>5.1838799522537372E-2</v>
      </c>
      <c r="G58" s="117">
        <v>4.3311823252761679E-2</v>
      </c>
      <c r="H58" s="88"/>
      <c r="I58" s="82"/>
      <c r="J58" s="82"/>
      <c r="L58" s="82"/>
    </row>
    <row r="59" spans="2:12">
      <c r="B59" s="825"/>
      <c r="C59" s="118" t="s">
        <v>172</v>
      </c>
      <c r="D59" s="118" t="s">
        <v>173</v>
      </c>
      <c r="E59" s="122">
        <v>-54</v>
      </c>
      <c r="F59" s="123">
        <v>-76</v>
      </c>
      <c r="G59" s="123">
        <v>-66</v>
      </c>
      <c r="H59" s="88"/>
      <c r="I59" s="82"/>
      <c r="J59" s="82"/>
      <c r="L59" s="82"/>
    </row>
    <row r="60" spans="2:12">
      <c r="B60" s="819" t="s">
        <v>61</v>
      </c>
      <c r="C60" s="613">
        <v>0.21232876712328766</v>
      </c>
      <c r="D60" s="124">
        <v>0.24098087693627335</v>
      </c>
      <c r="E60" s="125">
        <v>0.17055837563451776</v>
      </c>
      <c r="F60" s="125">
        <v>0.17256863525265731</v>
      </c>
      <c r="G60" s="125">
        <v>0.20671552006999891</v>
      </c>
      <c r="H60" s="88"/>
      <c r="I60" s="82"/>
      <c r="J60" s="82"/>
      <c r="L60" s="82"/>
    </row>
    <row r="61" spans="2:12">
      <c r="B61" s="819"/>
      <c r="C61" s="294" t="s">
        <v>174</v>
      </c>
      <c r="D61" s="126" t="s">
        <v>175</v>
      </c>
      <c r="E61" s="126">
        <v>-253</v>
      </c>
      <c r="F61" s="126">
        <v>-253</v>
      </c>
      <c r="G61" s="126">
        <v>-315</v>
      </c>
      <c r="H61" s="88"/>
      <c r="I61" s="82"/>
      <c r="J61" s="82"/>
      <c r="L61" s="82"/>
    </row>
    <row r="63" spans="2:12" ht="33.6" customHeight="1">
      <c r="B63" s="826" t="s">
        <v>176</v>
      </c>
      <c r="C63" s="826"/>
      <c r="D63" s="826"/>
      <c r="E63" s="826"/>
      <c r="F63" s="826"/>
      <c r="G63" s="826"/>
      <c r="H63" s="826"/>
      <c r="I63" s="826"/>
      <c r="J63" s="113"/>
      <c r="K63" s="113"/>
      <c r="L63" s="113"/>
    </row>
    <row r="64" spans="2:12">
      <c r="B64" s="797" t="s">
        <v>177</v>
      </c>
      <c r="C64" s="797"/>
      <c r="D64" s="797"/>
      <c r="E64" s="797"/>
      <c r="F64" s="797"/>
      <c r="G64" s="797"/>
      <c r="H64" s="797"/>
      <c r="I64" s="797"/>
      <c r="J64" s="797"/>
      <c r="K64" s="797"/>
      <c r="L64" s="797"/>
    </row>
    <row r="65" spans="2:13">
      <c r="B65" s="797" t="s">
        <v>178</v>
      </c>
      <c r="C65" s="797"/>
      <c r="D65" s="797"/>
      <c r="E65" s="797"/>
      <c r="F65" s="797"/>
      <c r="G65" s="797"/>
      <c r="H65" s="797"/>
      <c r="I65" s="797"/>
      <c r="J65" s="797"/>
      <c r="K65" s="797"/>
      <c r="L65" s="797"/>
      <c r="M65" s="78"/>
    </row>
    <row r="66" spans="2:13" ht="36.6" customHeight="1">
      <c r="B66" s="797" t="s">
        <v>179</v>
      </c>
      <c r="C66" s="797"/>
      <c r="D66" s="797"/>
      <c r="E66" s="797"/>
      <c r="F66" s="797"/>
      <c r="G66" s="797"/>
      <c r="H66" s="797"/>
      <c r="I66" s="797"/>
      <c r="J66" s="797"/>
      <c r="K66" s="797"/>
      <c r="L66" s="797"/>
      <c r="M66" s="78"/>
    </row>
    <row r="67" spans="2:13" ht="14.25" customHeight="1">
      <c r="B67" s="800" t="s">
        <v>180</v>
      </c>
      <c r="C67" s="800"/>
      <c r="D67" s="800"/>
      <c r="E67" s="800"/>
      <c r="F67" s="800"/>
      <c r="G67" s="800"/>
      <c r="H67" s="800"/>
      <c r="I67" s="800"/>
      <c r="J67" s="797"/>
      <c r="K67" s="797"/>
      <c r="L67" s="797"/>
      <c r="M67" s="78"/>
    </row>
    <row r="69" spans="2:13" ht="18">
      <c r="B69" s="41" t="s">
        <v>181</v>
      </c>
      <c r="C69" s="41"/>
      <c r="D69" s="41"/>
      <c r="E69" s="41"/>
    </row>
    <row r="71" spans="2:13">
      <c r="B71" s="61" t="s">
        <v>182</v>
      </c>
      <c r="C71" s="62" t="s">
        <v>39</v>
      </c>
      <c r="D71" s="62" t="s">
        <v>40</v>
      </c>
      <c r="E71" s="62" t="s">
        <v>41</v>
      </c>
      <c r="F71" s="62" t="s">
        <v>42</v>
      </c>
      <c r="G71" s="62" t="s">
        <v>183</v>
      </c>
      <c r="H71" s="88"/>
      <c r="I71" s="82"/>
      <c r="J71" s="82"/>
      <c r="L71" s="82"/>
    </row>
    <row r="72" spans="2:13">
      <c r="B72" s="818" t="s">
        <v>184</v>
      </c>
      <c r="C72" s="69">
        <v>0.2610587382160986</v>
      </c>
      <c r="D72" s="69">
        <v>0.21404976877339793</v>
      </c>
      <c r="E72" s="69">
        <v>0.20783956244302643</v>
      </c>
      <c r="F72" s="127">
        <v>0.14969818913480884</v>
      </c>
      <c r="G72" s="127">
        <v>0.1638519583183615</v>
      </c>
      <c r="H72" s="88"/>
      <c r="I72" s="82"/>
      <c r="J72" s="82"/>
      <c r="L72" s="82"/>
    </row>
    <row r="73" spans="2:13">
      <c r="B73" s="818"/>
      <c r="C73" s="83">
        <v>90</v>
      </c>
      <c r="D73" s="83">
        <v>81</v>
      </c>
      <c r="E73" s="119">
        <v>-38</v>
      </c>
      <c r="F73" s="119">
        <v>-31</v>
      </c>
      <c r="G73" s="119">
        <v>-38</v>
      </c>
      <c r="H73" s="88"/>
      <c r="I73" s="82"/>
      <c r="J73" s="82"/>
      <c r="L73" s="82"/>
    </row>
    <row r="74" spans="2:13">
      <c r="B74" s="818" t="s">
        <v>185</v>
      </c>
      <c r="C74" s="69">
        <v>0.20793319415448852</v>
      </c>
      <c r="D74" s="69">
        <v>0.3089887640449438</v>
      </c>
      <c r="E74" s="69">
        <v>0.16912235746316465</v>
      </c>
      <c r="F74" s="127">
        <v>0.2101792705542963</v>
      </c>
      <c r="G74" s="127">
        <v>0.28447254049782694</v>
      </c>
      <c r="H74" s="88"/>
      <c r="I74" s="82"/>
      <c r="J74" s="82"/>
      <c r="L74" s="82"/>
    </row>
    <row r="75" spans="2:13">
      <c r="B75" s="818"/>
      <c r="C75" s="83">
        <v>83</v>
      </c>
      <c r="D75" s="83">
        <v>110</v>
      </c>
      <c r="E75" s="119">
        <v>-66</v>
      </c>
      <c r="F75" s="119">
        <v>-85</v>
      </c>
      <c r="G75" s="119">
        <v>-120</v>
      </c>
      <c r="H75" s="88"/>
      <c r="I75" s="82"/>
      <c r="J75" s="82"/>
      <c r="L75" s="82"/>
    </row>
    <row r="76" spans="2:13">
      <c r="B76" s="818" t="s">
        <v>186</v>
      </c>
      <c r="C76" s="69">
        <v>0.15736230798051706</v>
      </c>
      <c r="D76" s="69">
        <v>0.29063320688648964</v>
      </c>
      <c r="E76" s="69">
        <v>0.18761496014714901</v>
      </c>
      <c r="F76" s="127">
        <v>0.18014329580348004</v>
      </c>
      <c r="G76" s="127">
        <v>0.23157228725086995</v>
      </c>
      <c r="H76" s="88"/>
      <c r="I76" s="82"/>
      <c r="J76" s="82"/>
      <c r="L76" s="82"/>
    </row>
    <row r="77" spans="2:13">
      <c r="B77" s="818"/>
      <c r="C77" s="83">
        <v>35</v>
      </c>
      <c r="D77" s="83">
        <v>83</v>
      </c>
      <c r="E77" s="119">
        <v>-51</v>
      </c>
      <c r="F77" s="119">
        <v>-44</v>
      </c>
      <c r="G77" s="119">
        <v>-61</v>
      </c>
      <c r="H77" s="88"/>
      <c r="I77" s="82"/>
      <c r="J77" s="82"/>
      <c r="L77" s="82"/>
    </row>
    <row r="78" spans="2:13">
      <c r="B78" s="818" t="s">
        <v>187</v>
      </c>
      <c r="C78" s="69">
        <v>0.20263308528906696</v>
      </c>
      <c r="D78" s="69">
        <v>0.19473189087488241</v>
      </c>
      <c r="E78" s="69">
        <v>0.18500948766603417</v>
      </c>
      <c r="F78" s="127">
        <v>0.1613058089294287</v>
      </c>
      <c r="G78" s="127">
        <v>0.15148514851485148</v>
      </c>
      <c r="H78" s="88"/>
      <c r="I78" s="82"/>
      <c r="J78" s="82"/>
      <c r="L78" s="82"/>
    </row>
    <row r="79" spans="2:13">
      <c r="B79" s="818"/>
      <c r="C79" s="83">
        <v>59</v>
      </c>
      <c r="D79" s="83">
        <v>69</v>
      </c>
      <c r="E79" s="119">
        <v>-65</v>
      </c>
      <c r="F79" s="119">
        <v>-56</v>
      </c>
      <c r="G79" s="119">
        <v>-51</v>
      </c>
      <c r="H79" s="88"/>
      <c r="I79" s="82"/>
      <c r="J79" s="82"/>
      <c r="L79" s="82"/>
    </row>
    <row r="80" spans="2:13">
      <c r="B80" s="818" t="s">
        <v>188</v>
      </c>
      <c r="C80" s="69">
        <v>0.21234567901234569</v>
      </c>
      <c r="D80" s="69">
        <v>0.19281332164767748</v>
      </c>
      <c r="E80" s="69">
        <v>0.11949305974652986</v>
      </c>
      <c r="F80" s="127">
        <v>0.14059531348955034</v>
      </c>
      <c r="G80" s="127">
        <v>0.16666666666666666</v>
      </c>
      <c r="H80" s="88"/>
      <c r="I80" s="82"/>
      <c r="J80" s="82"/>
      <c r="L80" s="82"/>
    </row>
    <row r="81" spans="2:12">
      <c r="B81" s="818"/>
      <c r="C81" s="83">
        <v>43</v>
      </c>
      <c r="D81" s="83">
        <v>55</v>
      </c>
      <c r="E81" s="119">
        <v>-33</v>
      </c>
      <c r="F81" s="119">
        <v>-37</v>
      </c>
      <c r="G81" s="119">
        <v>-45</v>
      </c>
      <c r="H81" s="88"/>
      <c r="I81" s="82"/>
      <c r="J81" s="82"/>
      <c r="L81" s="82"/>
    </row>
    <row r="82" spans="2:12">
      <c r="B82" s="102"/>
      <c r="C82" s="102"/>
      <c r="D82" s="102"/>
      <c r="E82" s="102"/>
    </row>
    <row r="83" spans="2:12" ht="22.5" customHeight="1">
      <c r="B83" s="797" t="s">
        <v>189</v>
      </c>
      <c r="C83" s="797"/>
      <c r="D83" s="797"/>
      <c r="E83" s="797"/>
      <c r="F83" s="797"/>
      <c r="G83" s="797"/>
      <c r="H83" s="797"/>
      <c r="I83" s="797"/>
      <c r="J83" s="113"/>
      <c r="K83" s="113"/>
      <c r="L83" s="113"/>
    </row>
    <row r="84" spans="2:12">
      <c r="B84" s="102" t="s">
        <v>177</v>
      </c>
      <c r="C84" s="102"/>
      <c r="D84" s="102"/>
      <c r="E84" s="102"/>
    </row>
    <row r="85" spans="2:12">
      <c r="B85" s="104" t="s">
        <v>190</v>
      </c>
    </row>
    <row r="87" spans="2:12" ht="18">
      <c r="B87" s="41" t="s">
        <v>191</v>
      </c>
      <c r="C87" s="41"/>
      <c r="D87" s="41"/>
      <c r="E87" s="41"/>
    </row>
    <row r="89" spans="2:12">
      <c r="B89" s="61" t="s">
        <v>192</v>
      </c>
      <c r="C89" s="62" t="s">
        <v>39</v>
      </c>
      <c r="D89" s="62" t="s">
        <v>40</v>
      </c>
      <c r="E89" s="62" t="s">
        <v>41</v>
      </c>
      <c r="F89" s="62" t="s">
        <v>42</v>
      </c>
      <c r="G89" s="62" t="s">
        <v>164</v>
      </c>
      <c r="H89" s="88"/>
      <c r="I89" s="82"/>
      <c r="J89" s="82"/>
      <c r="L89" s="82"/>
    </row>
    <row r="90" spans="2:12">
      <c r="B90" s="818" t="s">
        <v>81</v>
      </c>
      <c r="C90" s="69">
        <v>0.16797900262467191</v>
      </c>
      <c r="D90" s="69">
        <v>0.27435387673956263</v>
      </c>
      <c r="E90" s="69">
        <v>0.28639618138424822</v>
      </c>
      <c r="F90" s="127">
        <v>0.125</v>
      </c>
      <c r="G90" s="127">
        <v>0.25123152709359603</v>
      </c>
      <c r="H90" s="88"/>
      <c r="I90" s="82"/>
      <c r="J90" s="82"/>
      <c r="L90" s="82"/>
    </row>
    <row r="91" spans="2:12">
      <c r="B91" s="818"/>
      <c r="C91" s="83">
        <v>16</v>
      </c>
      <c r="D91" s="83">
        <v>23</v>
      </c>
      <c r="E91" s="119">
        <v>-20</v>
      </c>
      <c r="F91" s="119">
        <v>-9</v>
      </c>
      <c r="G91" s="119">
        <v>-17</v>
      </c>
      <c r="H91" s="88"/>
      <c r="I91" s="82"/>
      <c r="J91" s="82"/>
      <c r="L91" s="82"/>
    </row>
    <row r="92" spans="2:12">
      <c r="B92" s="818" t="s">
        <v>82</v>
      </c>
      <c r="C92" s="69">
        <v>0.19953009217422737</v>
      </c>
      <c r="D92" s="69">
        <v>0.2596046251398732</v>
      </c>
      <c r="E92" s="69">
        <v>0.18554116172168827</v>
      </c>
      <c r="F92" s="127">
        <v>0.21392190152801357</v>
      </c>
      <c r="G92" s="127">
        <v>0.22852875280059748</v>
      </c>
      <c r="H92" s="88"/>
      <c r="I92" s="82"/>
      <c r="J92" s="82"/>
      <c r="L92" s="82"/>
    </row>
    <row r="93" spans="2:12">
      <c r="B93" s="818"/>
      <c r="C93" s="83">
        <v>92</v>
      </c>
      <c r="D93" s="83">
        <v>116</v>
      </c>
      <c r="E93" s="119">
        <v>-74</v>
      </c>
      <c r="F93" s="119">
        <v>-84</v>
      </c>
      <c r="G93" s="119">
        <v>-102</v>
      </c>
      <c r="H93" s="88"/>
      <c r="I93" s="82"/>
      <c r="J93" s="82"/>
      <c r="L93" s="82"/>
    </row>
    <row r="94" spans="2:12">
      <c r="B94" s="818" t="s">
        <v>83</v>
      </c>
      <c r="C94" s="69">
        <v>0.20649281532730177</v>
      </c>
      <c r="D94" s="69">
        <v>0.2407282535401214</v>
      </c>
      <c r="E94" s="69">
        <v>0.15256166982922201</v>
      </c>
      <c r="F94" s="127">
        <v>0.16807367613200308</v>
      </c>
      <c r="G94" s="127">
        <v>0.20489977728285078</v>
      </c>
      <c r="H94" s="88"/>
      <c r="I94" s="82"/>
      <c r="J94" s="82"/>
      <c r="L94" s="82"/>
    </row>
    <row r="95" spans="2:12">
      <c r="B95" s="818"/>
      <c r="C95" s="83">
        <v>97</v>
      </c>
      <c r="D95" s="83">
        <v>119</v>
      </c>
      <c r="E95" s="119">
        <v>-67</v>
      </c>
      <c r="F95" s="119">
        <v>-73</v>
      </c>
      <c r="G95" s="119">
        <v>-92</v>
      </c>
      <c r="H95" s="88"/>
      <c r="I95" s="82"/>
      <c r="J95" s="82"/>
      <c r="L95" s="82"/>
    </row>
    <row r="96" spans="2:12">
      <c r="B96" s="818" t="s">
        <v>84</v>
      </c>
      <c r="C96" s="69">
        <v>0.21682665160926029</v>
      </c>
      <c r="D96" s="69">
        <v>0.19760884277013308</v>
      </c>
      <c r="E96" s="69">
        <v>0.15162454873646208</v>
      </c>
      <c r="F96" s="127">
        <v>0.16285258116019158</v>
      </c>
      <c r="G96" s="127">
        <v>0.2158828064764842</v>
      </c>
      <c r="H96" s="88"/>
      <c r="I96" s="82"/>
      <c r="J96" s="82"/>
      <c r="L96" s="82"/>
    </row>
    <row r="97" spans="2:12">
      <c r="B97" s="818"/>
      <c r="C97" s="83">
        <v>64</v>
      </c>
      <c r="D97" s="83">
        <v>73</v>
      </c>
      <c r="E97" s="119">
        <v>-49</v>
      </c>
      <c r="F97" s="119">
        <v>-51</v>
      </c>
      <c r="G97" s="119">
        <v>-70</v>
      </c>
      <c r="H97" s="88"/>
      <c r="I97" s="82"/>
      <c r="J97" s="82"/>
      <c r="L97" s="82"/>
    </row>
    <row r="98" spans="2:12">
      <c r="B98" s="818" t="s">
        <v>85</v>
      </c>
      <c r="C98" s="69">
        <v>0.25067385444743934</v>
      </c>
      <c r="D98" s="69">
        <v>0.20865704772475027</v>
      </c>
      <c r="E98" s="69">
        <v>0.15042458552365548</v>
      </c>
      <c r="F98" s="127">
        <v>0.12646370023419204</v>
      </c>
      <c r="G98" s="127">
        <v>0.1496881496881497</v>
      </c>
      <c r="H98" s="88"/>
      <c r="I98" s="82"/>
      <c r="J98" s="82"/>
      <c r="L98" s="82"/>
    </row>
    <row r="99" spans="2:12">
      <c r="B99" s="818"/>
      <c r="C99" s="83">
        <v>31</v>
      </c>
      <c r="D99" s="83">
        <v>47</v>
      </c>
      <c r="E99" s="119">
        <v>-31</v>
      </c>
      <c r="F99" s="119">
        <v>-27</v>
      </c>
      <c r="G99" s="119">
        <v>-30</v>
      </c>
      <c r="H99" s="88"/>
      <c r="I99" s="82"/>
      <c r="J99" s="82"/>
      <c r="L99" s="82"/>
    </row>
    <row r="100" spans="2:12">
      <c r="B100" s="818" t="s">
        <v>154</v>
      </c>
      <c r="C100" s="69">
        <v>0.66298342541436461</v>
      </c>
      <c r="D100" s="69">
        <v>0.5010438413361169</v>
      </c>
      <c r="E100" s="69">
        <v>0.29690721649484536</v>
      </c>
      <c r="F100" s="127">
        <v>0.22268041237113403</v>
      </c>
      <c r="G100" s="127">
        <v>0.11059907834101383</v>
      </c>
      <c r="H100" s="88"/>
      <c r="I100" s="82"/>
      <c r="J100" s="82"/>
      <c r="L100" s="82"/>
    </row>
    <row r="101" spans="2:12">
      <c r="B101" s="818"/>
      <c r="C101" s="83">
        <v>10</v>
      </c>
      <c r="D101" s="83">
        <v>20</v>
      </c>
      <c r="E101" s="119">
        <v>-12</v>
      </c>
      <c r="F101" s="119">
        <v>-9</v>
      </c>
      <c r="G101" s="119">
        <v>-4</v>
      </c>
      <c r="H101" s="88"/>
      <c r="I101" s="82"/>
      <c r="J101" s="82"/>
      <c r="L101" s="82"/>
    </row>
    <row r="102" spans="2:12">
      <c r="B102" s="102"/>
      <c r="C102" s="102"/>
      <c r="D102" s="102"/>
      <c r="E102" s="102"/>
    </row>
    <row r="103" spans="2:12">
      <c r="B103" s="829" t="s">
        <v>193</v>
      </c>
      <c r="C103" s="829"/>
      <c r="D103" s="829"/>
      <c r="E103" s="829"/>
      <c r="F103" s="829"/>
      <c r="G103" s="829"/>
      <c r="H103" s="829"/>
      <c r="I103" s="829"/>
      <c r="J103" s="829"/>
      <c r="K103" s="829"/>
    </row>
    <row r="104" spans="2:12">
      <c r="B104" s="102" t="s">
        <v>177</v>
      </c>
      <c r="C104" s="102"/>
      <c r="D104" s="102"/>
      <c r="E104" s="102"/>
    </row>
    <row r="105" spans="2:12">
      <c r="B105" s="104" t="s">
        <v>190</v>
      </c>
      <c r="C105" s="102"/>
      <c r="D105" s="102"/>
      <c r="E105" s="102"/>
    </row>
    <row r="107" spans="2:12" ht="18">
      <c r="B107" s="41" t="s">
        <v>194</v>
      </c>
      <c r="C107" s="41"/>
      <c r="D107" s="41"/>
      <c r="E107" s="41"/>
    </row>
    <row r="109" spans="2:12">
      <c r="B109" s="62" t="s">
        <v>195</v>
      </c>
      <c r="C109" s="61" t="s">
        <v>163</v>
      </c>
      <c r="D109" s="62" t="s">
        <v>196</v>
      </c>
      <c r="E109" s="62" t="s">
        <v>40</v>
      </c>
      <c r="F109" s="62" t="s">
        <v>41</v>
      </c>
      <c r="G109" s="62" t="s">
        <v>42</v>
      </c>
      <c r="H109" s="62" t="s">
        <v>197</v>
      </c>
      <c r="I109" s="82"/>
      <c r="J109" s="82"/>
      <c r="L109" s="82"/>
    </row>
    <row r="110" spans="2:12">
      <c r="B110" s="823" t="s">
        <v>71</v>
      </c>
      <c r="C110" s="823" t="s">
        <v>61</v>
      </c>
      <c r="D110" s="69">
        <v>0.21616212159119341</v>
      </c>
      <c r="E110" s="128">
        <v>0.2263364961814395</v>
      </c>
      <c r="F110" s="69">
        <v>0.16833667334669339</v>
      </c>
      <c r="G110" s="117">
        <v>0.16400164001640016</v>
      </c>
      <c r="H110" s="117">
        <v>0.20535951180684534</v>
      </c>
      <c r="I110" s="82"/>
      <c r="J110" s="82"/>
      <c r="L110" s="82"/>
    </row>
    <row r="111" spans="2:12">
      <c r="B111" s="823"/>
      <c r="C111" s="823"/>
      <c r="D111" s="83">
        <v>144</v>
      </c>
      <c r="E111" s="83">
        <v>163</v>
      </c>
      <c r="F111" s="119">
        <v>-105</v>
      </c>
      <c r="G111" s="120">
        <v>-100</v>
      </c>
      <c r="H111" s="120">
        <v>-129</v>
      </c>
      <c r="I111" s="82"/>
      <c r="J111" s="82"/>
      <c r="L111" s="82"/>
    </row>
    <row r="112" spans="2:12" ht="15" customHeight="1">
      <c r="B112" s="823"/>
      <c r="C112" s="823" t="s">
        <v>198</v>
      </c>
      <c r="D112" s="69">
        <v>0.16212159119339506</v>
      </c>
      <c r="E112" s="128">
        <v>0.18329090488312891</v>
      </c>
      <c r="F112" s="69">
        <v>0.12665330661322646</v>
      </c>
      <c r="G112" s="117">
        <v>0.10988109881098811</v>
      </c>
      <c r="H112" s="117">
        <v>0.15600955160520033</v>
      </c>
      <c r="I112" s="82"/>
      <c r="J112" s="82"/>
      <c r="L112" s="82"/>
    </row>
    <row r="113" spans="2:12">
      <c r="B113" s="823"/>
      <c r="C113" s="823"/>
      <c r="D113" s="83">
        <v>108</v>
      </c>
      <c r="E113" s="118">
        <v>132</v>
      </c>
      <c r="F113" s="119">
        <v>-79</v>
      </c>
      <c r="G113" s="120">
        <v>-67</v>
      </c>
      <c r="H113" s="120">
        <v>-98</v>
      </c>
      <c r="I113" s="82"/>
      <c r="J113" s="82"/>
      <c r="L113" s="82"/>
    </row>
    <row r="114" spans="2:12" ht="18.75" customHeight="1">
      <c r="B114" s="823"/>
      <c r="C114" s="823" t="s">
        <v>199</v>
      </c>
      <c r="D114" s="69">
        <v>0.11403508771929824</v>
      </c>
      <c r="E114" s="128">
        <v>1.7199017199017199E-2</v>
      </c>
      <c r="F114" s="69">
        <v>6.9435833849969E-2</v>
      </c>
      <c r="G114" s="117">
        <v>7.2122052704576972E-2</v>
      </c>
      <c r="H114" s="117">
        <v>0.13312624805857556</v>
      </c>
      <c r="I114" s="82"/>
      <c r="J114" s="82"/>
      <c r="L114" s="82"/>
    </row>
    <row r="115" spans="2:12" ht="48" customHeight="1">
      <c r="B115" s="823"/>
      <c r="C115" s="823"/>
      <c r="D115" s="83">
        <v>39</v>
      </c>
      <c r="E115" s="118">
        <v>7</v>
      </c>
      <c r="F115" s="119">
        <v>-28</v>
      </c>
      <c r="G115" s="120">
        <v>-26</v>
      </c>
      <c r="H115" s="120">
        <v>-50</v>
      </c>
      <c r="I115" s="82"/>
      <c r="J115" s="82"/>
      <c r="L115" s="82"/>
    </row>
    <row r="116" spans="2:12" ht="15" customHeight="1">
      <c r="B116" s="823"/>
      <c r="C116" s="823" t="s">
        <v>200</v>
      </c>
      <c r="D116" s="69">
        <v>5.4040530397798353E-2</v>
      </c>
      <c r="E116" s="128">
        <v>4.3045591298310579E-2</v>
      </c>
      <c r="F116" s="69">
        <v>4.1683366733466932E-2</v>
      </c>
      <c r="G116" s="117">
        <v>5.4120541205412057E-2</v>
      </c>
      <c r="H116" s="117">
        <v>4.9349960201645005E-2</v>
      </c>
      <c r="I116" s="82"/>
      <c r="J116" s="82"/>
      <c r="L116" s="82"/>
    </row>
    <row r="117" spans="2:12">
      <c r="B117" s="823"/>
      <c r="C117" s="823"/>
      <c r="D117" s="83">
        <v>36</v>
      </c>
      <c r="E117" s="118">
        <v>31</v>
      </c>
      <c r="F117" s="119">
        <v>-26</v>
      </c>
      <c r="G117" s="120">
        <v>-33</v>
      </c>
      <c r="H117" s="120">
        <v>-31</v>
      </c>
      <c r="I117" s="82"/>
      <c r="J117" s="82"/>
      <c r="L117" s="82"/>
    </row>
    <row r="118" spans="2:12">
      <c r="B118" s="823" t="s">
        <v>69</v>
      </c>
      <c r="C118" s="823" t="s">
        <v>61</v>
      </c>
      <c r="D118" s="69">
        <v>0.20890483224308926</v>
      </c>
      <c r="E118" s="128">
        <v>0.24933119315141786</v>
      </c>
      <c r="F118" s="69">
        <v>0.17338670311432197</v>
      </c>
      <c r="G118" s="117">
        <v>0.17866874270144023</v>
      </c>
      <c r="H118" s="117">
        <v>0.20766654261257911</v>
      </c>
      <c r="I118" s="82"/>
      <c r="J118" s="82"/>
      <c r="L118" s="82"/>
    </row>
    <row r="119" spans="2:12">
      <c r="B119" s="823"/>
      <c r="C119" s="823"/>
      <c r="D119" s="83">
        <v>165</v>
      </c>
      <c r="E119" s="83">
        <v>233</v>
      </c>
      <c r="F119" s="119">
        <v>-148</v>
      </c>
      <c r="G119" s="120">
        <v>-153</v>
      </c>
      <c r="H119" s="120">
        <v>-186</v>
      </c>
      <c r="I119" s="82"/>
      <c r="J119" s="82"/>
      <c r="L119" s="82"/>
    </row>
    <row r="120" spans="2:12" ht="15" customHeight="1">
      <c r="B120" s="823"/>
      <c r="C120" s="823" t="s">
        <v>198</v>
      </c>
      <c r="D120" s="69">
        <v>0.17472040514876555</v>
      </c>
      <c r="E120" s="128">
        <v>0.21615837346174424</v>
      </c>
      <c r="F120" s="69">
        <v>0.14058381333593672</v>
      </c>
      <c r="G120" s="117">
        <v>0.12845465161541456</v>
      </c>
      <c r="H120" s="117">
        <v>0.16858950502419057</v>
      </c>
      <c r="I120" s="82"/>
      <c r="J120" s="82"/>
      <c r="L120" s="82"/>
    </row>
    <row r="121" spans="2:12">
      <c r="B121" s="823"/>
      <c r="C121" s="823"/>
      <c r="D121" s="83">
        <v>138</v>
      </c>
      <c r="E121" s="118">
        <v>202</v>
      </c>
      <c r="F121" s="119">
        <v>-120</v>
      </c>
      <c r="G121" s="120">
        <v>-110</v>
      </c>
      <c r="H121" s="120">
        <v>-151</v>
      </c>
      <c r="I121" s="82"/>
      <c r="J121" s="82"/>
      <c r="L121" s="82"/>
    </row>
    <row r="122" spans="2:12" ht="18.75" customHeight="1">
      <c r="B122" s="823"/>
      <c r="C122" s="823" t="s">
        <v>199</v>
      </c>
      <c r="D122" s="69">
        <v>0.16009852216748768</v>
      </c>
      <c r="E122" s="128">
        <v>2.0833333333333332E-2</v>
      </c>
      <c r="F122" s="69">
        <v>8.6628383921246915E-2</v>
      </c>
      <c r="G122" s="117">
        <v>0.10741138560687433</v>
      </c>
      <c r="H122" s="117">
        <v>0.14408233276157806</v>
      </c>
      <c r="I122" s="82"/>
      <c r="J122" s="82"/>
      <c r="L122" s="82"/>
    </row>
    <row r="123" spans="2:12" ht="42" customHeight="1">
      <c r="B123" s="823"/>
      <c r="C123" s="823"/>
      <c r="D123" s="83">
        <v>65</v>
      </c>
      <c r="E123" s="118">
        <v>11</v>
      </c>
      <c r="F123" s="119">
        <v>-44</v>
      </c>
      <c r="G123" s="120">
        <v>-50</v>
      </c>
      <c r="H123" s="120">
        <v>-70</v>
      </c>
      <c r="I123" s="82"/>
      <c r="J123" s="82"/>
      <c r="L123" s="82"/>
    </row>
    <row r="124" spans="2:12" ht="15" customHeight="1">
      <c r="B124" s="823"/>
      <c r="C124" s="823" t="s">
        <v>201</v>
      </c>
      <c r="D124" s="69">
        <v>3.4184427094323698E-2</v>
      </c>
      <c r="E124" s="128">
        <v>3.3172819689673623E-2</v>
      </c>
      <c r="F124" s="69">
        <v>3.280288977838524E-2</v>
      </c>
      <c r="G124" s="117">
        <v>5.0214091086025689E-2</v>
      </c>
      <c r="H124" s="117">
        <v>3.9077037588388541E-2</v>
      </c>
      <c r="I124" s="82"/>
      <c r="J124" s="82"/>
      <c r="L124" s="82"/>
    </row>
    <row r="125" spans="2:12">
      <c r="B125" s="823"/>
      <c r="C125" s="823"/>
      <c r="D125" s="83">
        <v>27</v>
      </c>
      <c r="E125" s="118">
        <v>31</v>
      </c>
      <c r="F125" s="119">
        <v>-28</v>
      </c>
      <c r="G125" s="120">
        <v>-43</v>
      </c>
      <c r="H125" s="120">
        <v>-35</v>
      </c>
      <c r="I125" s="82"/>
      <c r="J125" s="82"/>
      <c r="L125" s="82"/>
    </row>
    <row r="126" spans="2:12">
      <c r="B126" s="102"/>
      <c r="C126" s="102"/>
      <c r="D126" s="102"/>
      <c r="E126" s="102"/>
    </row>
    <row r="127" spans="2:12">
      <c r="B127" s="102" t="s">
        <v>202</v>
      </c>
      <c r="C127" s="102"/>
      <c r="D127" s="102"/>
      <c r="E127" s="102"/>
    </row>
    <row r="128" spans="2:12">
      <c r="B128" s="104" t="s">
        <v>203</v>
      </c>
      <c r="C128" s="102"/>
      <c r="D128" s="102"/>
      <c r="E128" s="102"/>
    </row>
    <row r="129" spans="2:26">
      <c r="B129" s="546" t="s">
        <v>204</v>
      </c>
      <c r="C129" s="538"/>
      <c r="D129" s="538"/>
    </row>
    <row r="130" spans="2:26">
      <c r="B130" s="102" t="s">
        <v>205</v>
      </c>
      <c r="C130" s="538"/>
      <c r="D130" s="538"/>
    </row>
    <row r="131" spans="2:26" ht="18">
      <c r="B131" s="41" t="s">
        <v>206</v>
      </c>
      <c r="C131" s="41"/>
      <c r="D131" s="41"/>
      <c r="E131" s="41"/>
      <c r="O131" s="87"/>
      <c r="P131" s="87"/>
      <c r="Q131" s="87"/>
      <c r="R131" s="87"/>
      <c r="S131" s="87"/>
      <c r="T131" s="87"/>
      <c r="U131" s="87"/>
      <c r="V131" s="87"/>
      <c r="W131" s="87"/>
      <c r="X131" s="87"/>
      <c r="Y131" s="87"/>
      <c r="Z131" s="87"/>
    </row>
    <row r="132" spans="2:26">
      <c r="O132" s="87"/>
      <c r="P132" s="87"/>
      <c r="Q132" s="87"/>
      <c r="R132" s="87"/>
      <c r="S132" s="87"/>
      <c r="T132" s="87"/>
      <c r="U132" s="87"/>
      <c r="V132" s="87"/>
      <c r="W132" s="87"/>
      <c r="X132" s="87"/>
      <c r="Y132" s="87"/>
      <c r="Z132" s="87"/>
    </row>
    <row r="133" spans="2:26">
      <c r="B133" s="129" t="s">
        <v>195</v>
      </c>
      <c r="C133" s="627" t="s">
        <v>207</v>
      </c>
      <c r="D133" s="627" t="s">
        <v>208</v>
      </c>
      <c r="E133" s="62" t="s">
        <v>39</v>
      </c>
      <c r="F133" s="62" t="s">
        <v>40</v>
      </c>
      <c r="G133" s="62" t="s">
        <v>41</v>
      </c>
      <c r="H133" s="62" t="s">
        <v>42</v>
      </c>
      <c r="I133" s="62" t="s">
        <v>43</v>
      </c>
      <c r="J133" s="82"/>
      <c r="K133" s="130"/>
      <c r="L133" s="87"/>
      <c r="M133" s="87"/>
      <c r="N133" s="87"/>
      <c r="O133" s="87"/>
      <c r="P133" s="87"/>
      <c r="Q133" s="87"/>
      <c r="R133" s="87"/>
      <c r="S133" s="87"/>
      <c r="T133" s="87"/>
      <c r="U133" s="87"/>
      <c r="V133" s="87"/>
      <c r="W133" s="87"/>
    </row>
    <row r="134" spans="2:26">
      <c r="B134" s="131" t="s">
        <v>71</v>
      </c>
      <c r="C134" s="132">
        <v>72</v>
      </c>
      <c r="D134" s="132">
        <v>67</v>
      </c>
      <c r="E134" s="735">
        <v>0.93055555555555558</v>
      </c>
      <c r="F134" s="133">
        <v>0.89583333333333337</v>
      </c>
      <c r="G134" s="134">
        <v>0.76</v>
      </c>
      <c r="H134" s="135">
        <v>0.96551724137931039</v>
      </c>
      <c r="I134" s="135">
        <v>0.75</v>
      </c>
      <c r="J134" s="82"/>
      <c r="L134" s="87"/>
      <c r="M134" s="87"/>
      <c r="N134" s="87"/>
      <c r="O134" s="87"/>
      <c r="P134" s="87"/>
      <c r="Q134" s="87"/>
      <c r="R134" s="87"/>
      <c r="S134" s="87"/>
      <c r="T134" s="87"/>
      <c r="U134" s="87"/>
      <c r="V134" s="87"/>
      <c r="W134" s="87"/>
    </row>
    <row r="135" spans="2:26">
      <c r="B135" s="131" t="s">
        <v>69</v>
      </c>
      <c r="C135" s="132">
        <v>103</v>
      </c>
      <c r="D135" s="132">
        <v>89</v>
      </c>
      <c r="E135" s="735">
        <v>0.86407766990291257</v>
      </c>
      <c r="F135" s="133">
        <v>0.87012987012987009</v>
      </c>
      <c r="G135" s="134">
        <v>0.85057471264367812</v>
      </c>
      <c r="H135" s="135">
        <v>0.80434782608695654</v>
      </c>
      <c r="I135" s="135">
        <v>0.89</v>
      </c>
      <c r="J135" s="82"/>
      <c r="L135" s="87"/>
      <c r="M135" s="87"/>
      <c r="N135" s="87"/>
      <c r="O135" s="87"/>
      <c r="P135" s="87"/>
      <c r="Q135" s="87"/>
      <c r="R135" s="87"/>
      <c r="S135" s="87"/>
      <c r="T135" s="87"/>
      <c r="U135" s="87"/>
      <c r="V135" s="87"/>
      <c r="W135" s="87"/>
    </row>
    <row r="136" spans="2:26">
      <c r="B136" s="131" t="s">
        <v>209</v>
      </c>
      <c r="C136" s="628">
        <v>175</v>
      </c>
      <c r="D136" s="628">
        <v>156</v>
      </c>
      <c r="E136" s="735">
        <v>0.89142857142857146</v>
      </c>
      <c r="F136" s="133">
        <v>0.88</v>
      </c>
      <c r="G136" s="134">
        <v>0.8303571428571429</v>
      </c>
      <c r="H136" s="135">
        <v>0.84297520661157022</v>
      </c>
      <c r="I136" s="135">
        <v>0.85699999999999998</v>
      </c>
      <c r="J136" s="82"/>
      <c r="L136" s="87"/>
      <c r="M136" s="87"/>
      <c r="N136" s="87"/>
      <c r="O136" s="87"/>
      <c r="P136" s="87"/>
      <c r="Q136" s="87"/>
      <c r="R136" s="87"/>
      <c r="S136" s="87"/>
      <c r="T136" s="87"/>
      <c r="U136" s="87"/>
      <c r="V136" s="87"/>
      <c r="W136" s="87"/>
    </row>
    <row r="137" spans="2:26">
      <c r="O137" s="87"/>
      <c r="P137" s="87"/>
      <c r="Q137" s="87"/>
      <c r="R137" s="87"/>
      <c r="S137" s="87"/>
      <c r="T137" s="87"/>
      <c r="U137" s="87"/>
      <c r="V137" s="87"/>
      <c r="W137" s="87"/>
      <c r="X137" s="87"/>
      <c r="Y137" s="87"/>
      <c r="Z137" s="87"/>
    </row>
    <row r="138" spans="2:26" ht="16.2" customHeight="1">
      <c r="B138" s="828" t="s">
        <v>210</v>
      </c>
      <c r="C138" s="828"/>
      <c r="D138" s="828"/>
      <c r="E138" s="828"/>
      <c r="F138" s="828"/>
      <c r="G138" s="828"/>
      <c r="H138" s="828"/>
      <c r="I138" s="828"/>
      <c r="J138" s="828"/>
      <c r="K138" s="828"/>
      <c r="L138" s="828"/>
      <c r="M138" s="828"/>
    </row>
    <row r="139" spans="2:26">
      <c r="B139" s="828" t="s">
        <v>211</v>
      </c>
      <c r="C139" s="828"/>
      <c r="D139" s="828"/>
      <c r="E139" s="828"/>
      <c r="F139" s="828"/>
      <c r="G139" s="828"/>
      <c r="H139" s="828"/>
      <c r="I139" s="828"/>
      <c r="J139" s="828"/>
      <c r="K139" s="828"/>
      <c r="L139" s="828"/>
      <c r="M139" s="828"/>
    </row>
  </sheetData>
  <sheetProtection algorithmName="SHA-512" hashValue="hFvjnmlhNOatJTS5WKu4mV1pVsSV+WUGCfwI0NRXz1T+9jymaSw7YnOiYYAW19gjVF8XspqAtC6CqzDQ3NJBVg==" saltValue="GjhtynDljVqzRs4q3zJ1BA==" spinCount="100000" sheet="1" objects="1" scenarios="1"/>
  <mergeCells count="93">
    <mergeCell ref="C26:C27"/>
    <mergeCell ref="B139:M139"/>
    <mergeCell ref="B118:B125"/>
    <mergeCell ref="C118:C119"/>
    <mergeCell ref="C120:C121"/>
    <mergeCell ref="C122:C123"/>
    <mergeCell ref="C124:C125"/>
    <mergeCell ref="B138:M138"/>
    <mergeCell ref="B94:B95"/>
    <mergeCell ref="B96:B97"/>
    <mergeCell ref="B98:B99"/>
    <mergeCell ref="B100:B101"/>
    <mergeCell ref="B103:K103"/>
    <mergeCell ref="B110:B117"/>
    <mergeCell ref="C110:C111"/>
    <mergeCell ref="C112:C113"/>
    <mergeCell ref="C114:C115"/>
    <mergeCell ref="C116:C117"/>
    <mergeCell ref="B92:B93"/>
    <mergeCell ref="B67:I67"/>
    <mergeCell ref="J67:L67"/>
    <mergeCell ref="B72:B73"/>
    <mergeCell ref="B74:B75"/>
    <mergeCell ref="B76:B77"/>
    <mergeCell ref="B78:B79"/>
    <mergeCell ref="B80:B81"/>
    <mergeCell ref="B83:I83"/>
    <mergeCell ref="B90:B91"/>
    <mergeCell ref="B66:I66"/>
    <mergeCell ref="J66:L66"/>
    <mergeCell ref="B63:I63"/>
    <mergeCell ref="B64:I64"/>
    <mergeCell ref="J64:L64"/>
    <mergeCell ref="B65:I65"/>
    <mergeCell ref="J65:L65"/>
    <mergeCell ref="B60:B61"/>
    <mergeCell ref="I24:N25"/>
    <mergeCell ref="B26:B27"/>
    <mergeCell ref="F26:F27"/>
    <mergeCell ref="G26:G27"/>
    <mergeCell ref="H26:H27"/>
    <mergeCell ref="I26:N27"/>
    <mergeCell ref="B24:B25"/>
    <mergeCell ref="F24:F25"/>
    <mergeCell ref="G24:G25"/>
    <mergeCell ref="H24:H25"/>
    <mergeCell ref="B36:I36"/>
    <mergeCell ref="B44:I44"/>
    <mergeCell ref="B54:B55"/>
    <mergeCell ref="B56:B57"/>
    <mergeCell ref="B58:B59"/>
    <mergeCell ref="G11:G12"/>
    <mergeCell ref="H11:H12"/>
    <mergeCell ref="I20:N21"/>
    <mergeCell ref="B22:B23"/>
    <mergeCell ref="F22:F23"/>
    <mergeCell ref="G22:G23"/>
    <mergeCell ref="H22:H23"/>
    <mergeCell ref="I22:N23"/>
    <mergeCell ref="B20:B21"/>
    <mergeCell ref="E20:E21"/>
    <mergeCell ref="F20:F21"/>
    <mergeCell ref="G20:G21"/>
    <mergeCell ref="H20:H21"/>
    <mergeCell ref="I16:N17"/>
    <mergeCell ref="B18:B19"/>
    <mergeCell ref="E18:E19"/>
    <mergeCell ref="F18:F19"/>
    <mergeCell ref="G18:G19"/>
    <mergeCell ref="H18:H19"/>
    <mergeCell ref="I18:N19"/>
    <mergeCell ref="B16:B17"/>
    <mergeCell ref="E16:E17"/>
    <mergeCell ref="F16:F17"/>
    <mergeCell ref="G16:G17"/>
    <mergeCell ref="H16:H17"/>
    <mergeCell ref="C16:C17"/>
    <mergeCell ref="B5:J5"/>
    <mergeCell ref="I7:N7"/>
    <mergeCell ref="B9:B10"/>
    <mergeCell ref="D9:D10"/>
    <mergeCell ref="F9:F10"/>
    <mergeCell ref="G9:G10"/>
    <mergeCell ref="H9:H10"/>
    <mergeCell ref="I9:N14"/>
    <mergeCell ref="B13:B14"/>
    <mergeCell ref="D13:D14"/>
    <mergeCell ref="F13:F14"/>
    <mergeCell ref="G13:G14"/>
    <mergeCell ref="H13:H14"/>
    <mergeCell ref="B11:B12"/>
    <mergeCell ref="D11:D12"/>
    <mergeCell ref="F11:F12"/>
  </mergeCells>
  <hyperlinks>
    <hyperlink ref="A1" location="'Data Pack Overview'!A1" display="H" xr:uid="{76BAA25C-D9DE-4C9E-9D5F-6BD917D76D69}"/>
  </hyperlinks>
  <pageMargins left="0.25" right="0.25" top="0.75" bottom="0.75" header="0.3" footer="0.3"/>
  <pageSetup paperSize="8" scale="52"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CAEA-0613-4843-8F9C-E48C7D76F468}">
  <sheetPr>
    <tabColor theme="4"/>
  </sheetPr>
  <dimension ref="A1:Y62"/>
  <sheetViews>
    <sheetView showGridLines="0" topLeftCell="A36" zoomScale="130" zoomScaleNormal="130" workbookViewId="0">
      <selection activeCell="R39" sqref="R39"/>
    </sheetView>
  </sheetViews>
  <sheetFormatPr defaultRowHeight="14.4"/>
  <cols>
    <col min="1" max="1" width="2.44140625" customWidth="1"/>
    <col min="2" max="2" width="38.44140625" customWidth="1"/>
    <col min="3" max="3" width="8.5546875" customWidth="1"/>
    <col min="4" max="4" width="7" customWidth="1"/>
    <col min="5" max="19" width="6.5546875" customWidth="1"/>
    <col min="24" max="24" width="9.5546875" customWidth="1"/>
  </cols>
  <sheetData>
    <row r="1" spans="1:24">
      <c r="A1" s="18" t="s">
        <v>32</v>
      </c>
      <c r="B1" s="36"/>
      <c r="C1" s="36"/>
      <c r="D1" s="36"/>
      <c r="E1" s="36"/>
      <c r="F1" s="36"/>
      <c r="G1" s="36"/>
      <c r="H1" s="36"/>
      <c r="I1" s="36"/>
      <c r="J1" s="36"/>
      <c r="K1" s="36"/>
      <c r="L1" s="36"/>
      <c r="M1" s="36"/>
      <c r="N1" s="36"/>
      <c r="O1" s="36"/>
      <c r="P1" s="36"/>
      <c r="Q1" s="36"/>
      <c r="R1" s="36"/>
      <c r="S1" s="36"/>
      <c r="T1" s="36"/>
      <c r="U1" s="36"/>
      <c r="V1" s="36"/>
      <c r="W1" s="36"/>
      <c r="X1" s="36"/>
    </row>
    <row r="2" spans="1:24" ht="21">
      <c r="A2" s="36"/>
      <c r="B2" s="39" t="s">
        <v>212</v>
      </c>
      <c r="C2" s="39"/>
      <c r="D2" s="39"/>
      <c r="E2" s="36"/>
      <c r="F2" s="36"/>
      <c r="G2" s="36"/>
      <c r="H2" s="36"/>
      <c r="I2" s="36"/>
      <c r="J2" s="36"/>
      <c r="K2" s="36"/>
      <c r="L2" s="36"/>
      <c r="M2" s="36"/>
      <c r="N2" s="36"/>
      <c r="O2" s="36"/>
      <c r="P2" s="36"/>
      <c r="Q2" s="36"/>
      <c r="R2" s="36"/>
      <c r="S2" s="36"/>
      <c r="T2" s="36"/>
      <c r="U2" s="36"/>
      <c r="V2" s="36"/>
      <c r="W2" s="36"/>
      <c r="X2" s="36"/>
    </row>
    <row r="3" spans="1:24">
      <c r="A3" s="36"/>
      <c r="B3" s="36"/>
      <c r="C3" s="36"/>
      <c r="D3" s="36"/>
      <c r="E3" s="36"/>
      <c r="F3" s="36"/>
      <c r="G3" s="36"/>
      <c r="H3" s="36"/>
      <c r="I3" s="36"/>
      <c r="J3" s="36"/>
      <c r="K3" s="36"/>
      <c r="L3" s="36"/>
      <c r="M3" s="36"/>
      <c r="N3" s="36"/>
      <c r="O3" s="36"/>
      <c r="P3" s="36"/>
      <c r="Q3" s="36"/>
      <c r="R3" s="36"/>
      <c r="S3" s="36"/>
      <c r="T3" s="36"/>
      <c r="U3" s="36"/>
      <c r="V3" s="36"/>
      <c r="W3" s="36"/>
      <c r="X3" s="36"/>
    </row>
    <row r="4" spans="1:24" ht="15.6">
      <c r="A4" s="36"/>
      <c r="B4" s="139" t="s">
        <v>18</v>
      </c>
      <c r="C4" s="139"/>
      <c r="D4" s="139"/>
      <c r="E4" s="36"/>
      <c r="F4" s="36"/>
      <c r="G4" s="36"/>
      <c r="H4" s="36"/>
      <c r="I4" s="36"/>
      <c r="J4" s="36"/>
      <c r="K4" s="36"/>
      <c r="L4" s="36"/>
      <c r="M4" s="36"/>
      <c r="N4" s="36"/>
      <c r="O4" s="36"/>
      <c r="P4" s="36"/>
      <c r="Q4" s="36"/>
      <c r="R4" s="36"/>
      <c r="S4" s="36"/>
      <c r="T4" s="36"/>
      <c r="U4" s="36"/>
      <c r="V4" s="36"/>
      <c r="W4" s="36"/>
      <c r="X4" s="36"/>
    </row>
    <row r="5" spans="1:24" ht="15.6">
      <c r="A5" s="36"/>
      <c r="B5" s="139"/>
      <c r="C5" s="139"/>
      <c r="D5" s="139"/>
      <c r="E5" s="36"/>
      <c r="F5" s="36"/>
      <c r="G5" s="36"/>
      <c r="H5" s="36"/>
      <c r="I5" s="36"/>
      <c r="J5" s="36"/>
      <c r="K5" s="36"/>
      <c r="L5" s="36"/>
      <c r="M5" s="36"/>
      <c r="N5" s="36"/>
      <c r="O5" s="36"/>
      <c r="P5" s="36"/>
      <c r="Q5" s="36"/>
      <c r="R5" s="36"/>
      <c r="S5" s="36"/>
      <c r="T5" s="36"/>
      <c r="U5" s="36"/>
      <c r="V5" s="36"/>
      <c r="W5" s="36"/>
      <c r="X5" s="36"/>
    </row>
    <row r="6" spans="1:24">
      <c r="A6" s="36"/>
      <c r="B6" s="153"/>
      <c r="C6" s="62" t="s">
        <v>39</v>
      </c>
      <c r="D6" s="62" t="s">
        <v>40</v>
      </c>
      <c r="E6" s="62" t="s">
        <v>41</v>
      </c>
      <c r="F6" s="62" t="s">
        <v>42</v>
      </c>
      <c r="G6" s="62" t="s">
        <v>43</v>
      </c>
      <c r="H6" s="36"/>
      <c r="I6" s="36"/>
      <c r="J6" s="36"/>
      <c r="K6" s="36"/>
      <c r="L6" s="36"/>
      <c r="M6" s="36"/>
      <c r="N6" s="36"/>
      <c r="O6" s="36"/>
      <c r="P6" s="36"/>
      <c r="Q6" s="36"/>
      <c r="R6" s="36"/>
      <c r="S6" s="36"/>
      <c r="T6" s="36"/>
    </row>
    <row r="7" spans="1:24">
      <c r="A7" s="36"/>
      <c r="B7" s="156" t="s">
        <v>213</v>
      </c>
      <c r="C7" s="50">
        <v>1635</v>
      </c>
      <c r="D7" s="614">
        <v>1838</v>
      </c>
      <c r="E7" s="50">
        <v>1616</v>
      </c>
      <c r="F7" s="50">
        <v>1619</v>
      </c>
      <c r="G7" s="50">
        <v>1680</v>
      </c>
      <c r="H7" s="36"/>
      <c r="I7" s="36"/>
      <c r="J7" s="36"/>
      <c r="K7" s="36"/>
      <c r="L7" s="616"/>
      <c r="M7" s="36"/>
      <c r="N7" s="36"/>
      <c r="O7" s="36"/>
      <c r="P7" s="36"/>
      <c r="Q7" s="36"/>
      <c r="R7" s="36"/>
      <c r="S7" s="36"/>
      <c r="T7" s="36"/>
    </row>
    <row r="8" spans="1:24">
      <c r="A8" s="36"/>
      <c r="B8" s="57" t="s">
        <v>214</v>
      </c>
      <c r="C8" s="51">
        <v>3.09</v>
      </c>
      <c r="D8" s="83">
        <v>3.43</v>
      </c>
      <c r="E8" s="83">
        <v>2.97</v>
      </c>
      <c r="F8" s="51">
        <v>2.96</v>
      </c>
      <c r="G8" s="51">
        <v>3.08</v>
      </c>
      <c r="H8" s="36"/>
      <c r="I8" s="36"/>
      <c r="J8" s="36"/>
      <c r="K8" s="36"/>
      <c r="L8" s="36"/>
      <c r="M8" s="36"/>
      <c r="N8" s="36"/>
      <c r="O8" s="36"/>
      <c r="P8" s="36"/>
      <c r="Q8" s="36"/>
      <c r="R8" s="36"/>
      <c r="S8" s="36"/>
      <c r="T8" s="36"/>
    </row>
    <row r="9" spans="1:24">
      <c r="A9" s="36"/>
      <c r="B9" s="615" t="s">
        <v>215</v>
      </c>
      <c r="C9" s="51">
        <v>5</v>
      </c>
      <c r="D9" s="83">
        <v>9</v>
      </c>
      <c r="E9" s="83" t="s">
        <v>216</v>
      </c>
      <c r="F9" s="51">
        <v>10</v>
      </c>
      <c r="G9" s="83" t="s">
        <v>217</v>
      </c>
      <c r="H9" s="36"/>
      <c r="I9" s="36"/>
      <c r="J9" s="36"/>
      <c r="K9" s="36"/>
      <c r="L9" s="36"/>
      <c r="M9" s="36"/>
      <c r="N9" s="36"/>
      <c r="O9" s="36"/>
      <c r="P9" s="36"/>
      <c r="Q9" s="36"/>
      <c r="R9" s="36"/>
      <c r="S9" s="36"/>
      <c r="T9" s="36"/>
    </row>
    <row r="10" spans="1:24">
      <c r="A10" s="36"/>
      <c r="B10" s="257" t="s">
        <v>218</v>
      </c>
      <c r="C10" s="118" t="s">
        <v>219</v>
      </c>
      <c r="D10" s="118">
        <v>2.6</v>
      </c>
      <c r="E10" s="118" t="s">
        <v>220</v>
      </c>
      <c r="F10" s="51">
        <v>3.4</v>
      </c>
      <c r="G10" s="51">
        <v>3.9</v>
      </c>
      <c r="H10" s="36"/>
      <c r="I10" s="36"/>
      <c r="J10" s="36"/>
      <c r="K10" s="36"/>
      <c r="L10" s="36"/>
      <c r="M10" s="36"/>
      <c r="N10" s="36"/>
      <c r="O10" s="36"/>
      <c r="P10" s="36"/>
      <c r="Q10" s="36"/>
      <c r="R10" s="36"/>
      <c r="S10" s="36"/>
      <c r="T10" s="36"/>
    </row>
    <row r="11" spans="1:24">
      <c r="A11" s="36"/>
      <c r="B11" s="156" t="s">
        <v>221</v>
      </c>
      <c r="C11" s="222">
        <v>11</v>
      </c>
      <c r="D11" s="157">
        <v>11</v>
      </c>
      <c r="E11" s="118">
        <v>10</v>
      </c>
      <c r="F11" s="158">
        <v>14</v>
      </c>
      <c r="G11" s="51">
        <v>17</v>
      </c>
      <c r="H11" s="36"/>
      <c r="I11" s="36"/>
      <c r="J11" s="36"/>
      <c r="K11" s="36"/>
      <c r="L11" s="36"/>
      <c r="M11" s="36"/>
      <c r="N11" s="36"/>
      <c r="O11" s="36"/>
      <c r="P11" s="36"/>
      <c r="Q11" s="36"/>
      <c r="R11" s="36"/>
      <c r="S11" s="36"/>
      <c r="T11" s="36"/>
    </row>
    <row r="12" spans="1:24">
      <c r="A12" s="36"/>
      <c r="B12" s="156" t="s">
        <v>222</v>
      </c>
      <c r="C12" s="222" t="s">
        <v>223</v>
      </c>
      <c r="D12" s="157">
        <v>3.2</v>
      </c>
      <c r="E12" s="118">
        <v>3.4</v>
      </c>
      <c r="F12" s="51">
        <v>4.7</v>
      </c>
      <c r="G12" s="51">
        <v>5.5</v>
      </c>
      <c r="H12" s="36"/>
      <c r="I12" s="36"/>
      <c r="J12" s="36"/>
      <c r="K12" s="36"/>
      <c r="L12" s="36"/>
      <c r="M12" s="36"/>
      <c r="N12" s="36"/>
      <c r="O12" s="36"/>
      <c r="P12" s="36"/>
      <c r="Q12" s="36"/>
      <c r="R12" s="36"/>
      <c r="S12" s="36"/>
      <c r="T12" s="36"/>
    </row>
    <row r="13" spans="1:24">
      <c r="A13" s="36"/>
      <c r="B13" s="156" t="s">
        <v>224</v>
      </c>
      <c r="C13" s="222" t="s">
        <v>225</v>
      </c>
      <c r="D13" s="157">
        <v>5.8</v>
      </c>
      <c r="E13" s="118">
        <v>6.7</v>
      </c>
      <c r="F13" s="51">
        <v>8.1</v>
      </c>
      <c r="G13" s="51">
        <v>9.4</v>
      </c>
      <c r="H13" s="36"/>
      <c r="I13" s="36"/>
      <c r="J13" s="36"/>
      <c r="K13" s="36"/>
      <c r="L13" s="36"/>
      <c r="M13" s="36"/>
      <c r="N13" s="36"/>
      <c r="O13" s="36"/>
      <c r="P13" s="36"/>
      <c r="Q13" s="36"/>
      <c r="R13" s="36"/>
      <c r="S13" s="36"/>
      <c r="T13" s="36"/>
    </row>
    <row r="14" spans="1:24">
      <c r="A14" s="36"/>
      <c r="B14" s="57" t="s">
        <v>226</v>
      </c>
      <c r="C14" s="51">
        <v>0</v>
      </c>
      <c r="D14" s="158">
        <v>0</v>
      </c>
      <c r="E14" s="83">
        <v>0</v>
      </c>
      <c r="F14" s="51">
        <v>0</v>
      </c>
      <c r="G14" s="51">
        <v>0</v>
      </c>
      <c r="H14" s="36"/>
      <c r="I14" s="36"/>
      <c r="J14" s="36"/>
      <c r="K14" s="36"/>
      <c r="L14" s="36"/>
      <c r="M14" s="36"/>
      <c r="N14" s="36"/>
      <c r="O14" s="36"/>
      <c r="P14" s="36"/>
      <c r="Q14" s="36"/>
      <c r="R14" s="36"/>
      <c r="S14" s="36"/>
      <c r="T14" s="36"/>
    </row>
    <row r="15" spans="1:24">
      <c r="A15" s="36"/>
      <c r="B15" s="57" t="s">
        <v>227</v>
      </c>
      <c r="C15" s="51">
        <v>0</v>
      </c>
      <c r="D15" s="158">
        <v>0</v>
      </c>
      <c r="E15" s="83">
        <v>0</v>
      </c>
      <c r="F15" s="51">
        <v>0</v>
      </c>
      <c r="G15" s="51">
        <v>0</v>
      </c>
      <c r="H15" s="36"/>
      <c r="I15" s="36"/>
      <c r="J15" s="36"/>
      <c r="K15" s="36"/>
      <c r="L15" s="36"/>
      <c r="M15" s="36"/>
      <c r="N15" s="36"/>
      <c r="O15" s="36"/>
      <c r="P15" s="36"/>
      <c r="Q15" s="36"/>
      <c r="R15" s="36"/>
      <c r="S15" s="36"/>
      <c r="T15" s="36"/>
    </row>
    <row r="16" spans="1:24">
      <c r="A16" s="36"/>
      <c r="B16" s="156" t="s">
        <v>228</v>
      </c>
      <c r="C16" s="222" t="s">
        <v>229</v>
      </c>
      <c r="D16" s="157">
        <v>357</v>
      </c>
      <c r="E16" s="118" t="s">
        <v>230</v>
      </c>
      <c r="F16" s="51">
        <v>289</v>
      </c>
      <c r="G16" s="51" t="s">
        <v>231</v>
      </c>
      <c r="H16" s="36"/>
      <c r="I16" s="36"/>
      <c r="J16" s="36"/>
      <c r="K16" s="36"/>
      <c r="L16" s="36"/>
      <c r="M16" s="36"/>
      <c r="N16" s="36"/>
      <c r="O16" s="36"/>
      <c r="P16" s="36"/>
      <c r="Q16" s="36"/>
      <c r="R16" s="36"/>
      <c r="S16" s="36"/>
      <c r="T16" s="36"/>
    </row>
    <row r="17" spans="1:24">
      <c r="A17" s="36"/>
      <c r="B17" s="156" t="s">
        <v>232</v>
      </c>
      <c r="C17" s="222">
        <v>50.2</v>
      </c>
      <c r="D17" s="157">
        <v>8.1</v>
      </c>
      <c r="E17" s="159" t="s">
        <v>233</v>
      </c>
      <c r="F17" s="51">
        <v>20.9</v>
      </c>
      <c r="G17" s="51">
        <v>5.3</v>
      </c>
      <c r="H17" s="36"/>
      <c r="I17" s="36"/>
      <c r="J17" s="36"/>
      <c r="K17" s="36"/>
      <c r="L17" s="36"/>
      <c r="M17" s="36"/>
      <c r="N17" s="36"/>
      <c r="O17" s="36"/>
      <c r="P17" s="36"/>
      <c r="Q17" s="36"/>
      <c r="R17" s="36"/>
      <c r="S17" s="36"/>
      <c r="T17" s="36"/>
    </row>
    <row r="18" spans="1:24">
      <c r="A18" s="36"/>
      <c r="B18" s="156" t="s">
        <v>234</v>
      </c>
      <c r="C18" s="222" t="s">
        <v>235</v>
      </c>
      <c r="D18" s="157">
        <v>9.9</v>
      </c>
      <c r="E18" s="118">
        <v>4.5</v>
      </c>
      <c r="F18" s="51">
        <v>2.2000000000000002</v>
      </c>
      <c r="G18" s="51">
        <v>6.7</v>
      </c>
      <c r="H18" s="36"/>
      <c r="I18" s="36"/>
      <c r="J18" s="36"/>
      <c r="K18" s="36"/>
      <c r="L18" s="36"/>
      <c r="M18" s="36"/>
      <c r="N18" s="36"/>
      <c r="O18" s="36"/>
      <c r="P18" s="36"/>
      <c r="Q18" s="36"/>
      <c r="R18" s="36"/>
      <c r="S18" s="36"/>
      <c r="T18" s="36"/>
    </row>
    <row r="19" spans="1:24">
      <c r="A19" s="36"/>
      <c r="B19" s="57" t="s">
        <v>236</v>
      </c>
      <c r="C19" s="51">
        <v>0</v>
      </c>
      <c r="D19" s="83">
        <v>0</v>
      </c>
      <c r="E19" s="83">
        <v>0</v>
      </c>
      <c r="F19" s="51">
        <v>0</v>
      </c>
      <c r="G19" s="51">
        <v>0</v>
      </c>
      <c r="H19" s="36"/>
      <c r="I19" s="36"/>
      <c r="J19" s="36"/>
      <c r="K19" s="36"/>
      <c r="L19" s="36"/>
      <c r="M19" s="36"/>
      <c r="N19" s="36"/>
      <c r="O19" s="36"/>
      <c r="P19" s="36"/>
      <c r="Q19" s="36"/>
      <c r="R19" s="36"/>
      <c r="S19" s="36"/>
      <c r="T19" s="36"/>
    </row>
    <row r="20" spans="1:24">
      <c r="A20" s="36"/>
      <c r="B20" s="36"/>
      <c r="C20" s="36"/>
      <c r="D20" s="36"/>
      <c r="E20" s="36"/>
      <c r="F20" s="36"/>
      <c r="G20" s="36"/>
      <c r="H20" s="36"/>
      <c r="I20" s="36"/>
      <c r="J20" s="36"/>
      <c r="K20" s="36"/>
      <c r="L20" s="36"/>
      <c r="M20" s="36"/>
      <c r="N20" s="36"/>
      <c r="O20" s="36"/>
      <c r="P20" s="36"/>
      <c r="Q20" s="36"/>
      <c r="R20" s="36"/>
      <c r="S20" s="36"/>
      <c r="T20" s="36"/>
      <c r="U20" s="36"/>
      <c r="V20" s="36"/>
      <c r="W20" s="36"/>
      <c r="X20" s="36"/>
    </row>
    <row r="21" spans="1:24">
      <c r="A21" s="36"/>
      <c r="B21" s="797" t="s">
        <v>237</v>
      </c>
      <c r="C21" s="797"/>
      <c r="D21" s="797"/>
      <c r="E21" s="797"/>
      <c r="F21" s="797"/>
      <c r="G21" s="797"/>
      <c r="H21" s="797"/>
      <c r="I21" s="797"/>
      <c r="J21" s="797"/>
      <c r="K21" s="797"/>
      <c r="L21" s="797"/>
      <c r="M21" s="797"/>
      <c r="N21" s="797"/>
      <c r="O21" s="797"/>
      <c r="P21" s="797"/>
      <c r="Q21" s="797"/>
      <c r="R21" s="797"/>
      <c r="S21" s="797"/>
      <c r="T21" s="36"/>
      <c r="U21" s="36"/>
      <c r="V21" s="36"/>
      <c r="W21" s="36"/>
      <c r="X21" s="36"/>
    </row>
    <row r="22" spans="1:24">
      <c r="A22" s="36"/>
      <c r="B22" s="797" t="s">
        <v>238</v>
      </c>
      <c r="C22" s="797"/>
      <c r="D22" s="797"/>
      <c r="E22" s="797"/>
      <c r="F22" s="797"/>
      <c r="G22" s="797"/>
      <c r="H22" s="797"/>
      <c r="I22" s="797"/>
      <c r="J22" s="797"/>
      <c r="K22" s="797"/>
      <c r="L22" s="797"/>
      <c r="M22" s="797"/>
      <c r="N22" s="797"/>
      <c r="O22" s="797"/>
      <c r="P22" s="797"/>
      <c r="Q22" s="797"/>
      <c r="R22" s="797"/>
      <c r="S22" s="797"/>
      <c r="T22" s="36"/>
      <c r="U22" s="36"/>
      <c r="V22" s="36"/>
      <c r="W22" s="36"/>
      <c r="X22" s="36"/>
    </row>
    <row r="23" spans="1:24">
      <c r="A23" s="36"/>
      <c r="B23" s="797" t="s">
        <v>239</v>
      </c>
      <c r="C23" s="797"/>
      <c r="D23" s="797"/>
      <c r="E23" s="797"/>
      <c r="F23" s="797"/>
      <c r="G23" s="797"/>
      <c r="H23" s="797"/>
      <c r="I23" s="797"/>
      <c r="J23" s="797"/>
      <c r="K23" s="797"/>
      <c r="L23" s="797"/>
      <c r="M23" s="797"/>
      <c r="N23" s="797"/>
      <c r="O23" s="797"/>
      <c r="P23" s="797"/>
      <c r="Q23" s="797"/>
      <c r="R23" s="797"/>
      <c r="S23" s="797"/>
      <c r="T23" s="78"/>
      <c r="U23" s="36"/>
      <c r="V23" s="36"/>
      <c r="W23" s="36"/>
      <c r="X23" s="36"/>
    </row>
    <row r="24" spans="1:24">
      <c r="A24" s="36"/>
      <c r="B24" s="797" t="s">
        <v>240</v>
      </c>
      <c r="C24" s="797"/>
      <c r="D24" s="797"/>
      <c r="E24" s="797"/>
      <c r="F24" s="797"/>
      <c r="G24" s="797"/>
      <c r="H24" s="797"/>
      <c r="I24" s="797"/>
      <c r="J24" s="797"/>
      <c r="K24" s="797"/>
      <c r="L24" s="797"/>
      <c r="M24" s="797"/>
      <c r="N24" s="797"/>
      <c r="O24" s="797"/>
      <c r="P24" s="797"/>
      <c r="Q24" s="797"/>
      <c r="R24" s="797"/>
      <c r="S24" s="797"/>
      <c r="T24" s="36"/>
      <c r="U24" s="36"/>
      <c r="V24" s="36"/>
      <c r="W24" s="36"/>
      <c r="X24" s="36"/>
    </row>
    <row r="25" spans="1:24">
      <c r="A25" s="36"/>
      <c r="B25" s="797" t="s">
        <v>241</v>
      </c>
      <c r="C25" s="797"/>
      <c r="D25" s="797"/>
      <c r="E25" s="797"/>
      <c r="F25" s="797"/>
      <c r="G25" s="797"/>
      <c r="H25" s="797"/>
      <c r="I25" s="797"/>
      <c r="J25" s="797"/>
      <c r="K25" s="797"/>
      <c r="L25" s="797"/>
      <c r="M25" s="797"/>
      <c r="N25" s="797"/>
      <c r="O25" s="797"/>
      <c r="P25" s="797"/>
      <c r="Q25" s="797"/>
      <c r="R25" s="797"/>
      <c r="S25" s="797"/>
      <c r="T25" s="36"/>
      <c r="U25" s="36"/>
      <c r="V25" s="36"/>
      <c r="W25" s="36"/>
      <c r="X25" s="36"/>
    </row>
    <row r="26" spans="1:24">
      <c r="A26" s="36"/>
      <c r="B26" s="797" t="s">
        <v>242</v>
      </c>
      <c r="C26" s="797"/>
      <c r="D26" s="797"/>
      <c r="E26" s="797"/>
      <c r="F26" s="797"/>
      <c r="G26" s="797"/>
      <c r="H26" s="797"/>
      <c r="I26" s="797"/>
      <c r="J26" s="797"/>
      <c r="K26" s="797"/>
      <c r="L26" s="797"/>
      <c r="M26" s="797"/>
      <c r="N26" s="797"/>
      <c r="O26" s="797"/>
      <c r="P26" s="797"/>
      <c r="Q26" s="797"/>
      <c r="R26" s="797"/>
      <c r="S26" s="797"/>
      <c r="T26" s="36"/>
      <c r="U26" s="36"/>
      <c r="V26" s="36"/>
      <c r="W26" s="36"/>
      <c r="X26" s="36"/>
    </row>
    <row r="27" spans="1:24">
      <c r="A27" s="36"/>
      <c r="B27" s="797" t="s">
        <v>243</v>
      </c>
      <c r="C27" s="797"/>
      <c r="D27" s="797"/>
      <c r="E27" s="797"/>
      <c r="F27" s="797"/>
      <c r="G27" s="797"/>
      <c r="H27" s="797"/>
      <c r="I27" s="797"/>
      <c r="J27" s="797"/>
      <c r="K27" s="797"/>
      <c r="L27" s="797"/>
      <c r="M27" s="797"/>
      <c r="N27" s="797"/>
      <c r="O27" s="797"/>
      <c r="P27" s="797"/>
      <c r="Q27" s="797"/>
      <c r="R27" s="797"/>
      <c r="S27" s="797"/>
      <c r="T27" s="36"/>
      <c r="U27" s="36"/>
      <c r="V27" s="36"/>
      <c r="W27" s="36"/>
      <c r="X27" s="36"/>
    </row>
    <row r="28" spans="1:24">
      <c r="A28" s="36"/>
      <c r="B28" s="797" t="s">
        <v>244</v>
      </c>
      <c r="C28" s="797"/>
      <c r="D28" s="797"/>
      <c r="E28" s="797"/>
      <c r="F28" s="797"/>
      <c r="G28" s="797"/>
      <c r="H28" s="797"/>
      <c r="I28" s="797"/>
      <c r="J28" s="797"/>
      <c r="K28" s="797"/>
      <c r="L28" s="36"/>
      <c r="M28" s="48"/>
      <c r="N28" s="36"/>
      <c r="O28" s="36"/>
      <c r="P28" s="36"/>
      <c r="Q28" s="36"/>
      <c r="R28" s="36"/>
      <c r="S28" s="36"/>
      <c r="T28" s="36"/>
      <c r="U28" s="36"/>
      <c r="V28" s="36"/>
      <c r="W28" s="36"/>
      <c r="X28" s="36"/>
    </row>
    <row r="29" spans="1:24">
      <c r="A29" s="36"/>
      <c r="B29" s="797" t="s">
        <v>245</v>
      </c>
      <c r="C29" s="797"/>
      <c r="D29" s="797"/>
      <c r="E29" s="797"/>
      <c r="F29" s="797"/>
      <c r="G29" s="797"/>
      <c r="H29" s="797"/>
      <c r="I29" s="797"/>
      <c r="J29" s="797"/>
      <c r="K29" s="797"/>
      <c r="L29" s="36"/>
      <c r="M29" s="48"/>
      <c r="N29" s="36"/>
      <c r="O29" s="36"/>
      <c r="P29" s="36"/>
      <c r="Q29" s="36"/>
      <c r="R29" s="36"/>
      <c r="S29" s="36"/>
      <c r="T29" s="36"/>
      <c r="U29" s="36"/>
      <c r="V29" s="36"/>
      <c r="W29" s="36"/>
      <c r="X29" s="36"/>
    </row>
    <row r="30" spans="1:24">
      <c r="A30" s="36"/>
      <c r="B30" s="797" t="s">
        <v>246</v>
      </c>
      <c r="C30" s="797"/>
      <c r="D30" s="797"/>
      <c r="E30" s="797"/>
      <c r="F30" s="797"/>
      <c r="G30" s="797"/>
      <c r="H30" s="797"/>
      <c r="I30" s="797"/>
      <c r="J30" s="797"/>
      <c r="K30" s="797"/>
      <c r="L30" s="36"/>
      <c r="M30" s="48"/>
      <c r="N30" s="36"/>
      <c r="O30" s="36"/>
      <c r="P30" s="36"/>
      <c r="Q30" s="36"/>
      <c r="R30" s="36"/>
      <c r="S30" s="36"/>
      <c r="T30" s="36"/>
      <c r="U30" s="36"/>
      <c r="V30" s="36"/>
      <c r="W30" s="36"/>
      <c r="X30" s="36"/>
    </row>
    <row r="31" spans="1:24" ht="28.35" customHeight="1">
      <c r="A31" s="36"/>
      <c r="B31" s="826" t="s">
        <v>247</v>
      </c>
      <c r="C31" s="826"/>
      <c r="D31" s="826"/>
      <c r="E31" s="826"/>
      <c r="F31" s="826"/>
      <c r="G31" s="826"/>
      <c r="H31" s="826"/>
      <c r="I31" s="826"/>
      <c r="J31" s="826"/>
      <c r="K31" s="826"/>
      <c r="L31" s="826"/>
      <c r="M31" s="826"/>
      <c r="N31" s="826"/>
      <c r="O31" s="826"/>
      <c r="P31" s="826"/>
      <c r="Q31" s="826"/>
      <c r="R31" s="826"/>
      <c r="S31" s="826"/>
      <c r="T31" s="36"/>
      <c r="U31" s="36"/>
      <c r="V31" s="36"/>
      <c r="W31" s="36"/>
      <c r="X31" s="36"/>
    </row>
    <row r="32" spans="1:24" ht="27.6" customHeight="1">
      <c r="A32" s="36"/>
      <c r="B32" s="797" t="s">
        <v>248</v>
      </c>
      <c r="C32" s="797"/>
      <c r="D32" s="797"/>
      <c r="E32" s="797"/>
      <c r="F32" s="797"/>
      <c r="G32" s="797"/>
      <c r="H32" s="797"/>
      <c r="I32" s="797"/>
      <c r="J32" s="797"/>
      <c r="K32" s="797"/>
      <c r="L32" s="797"/>
      <c r="M32" s="797"/>
      <c r="N32" s="797"/>
      <c r="O32" s="797"/>
      <c r="P32" s="797"/>
      <c r="Q32" s="797"/>
      <c r="R32" s="797"/>
      <c r="S32" s="797"/>
      <c r="T32" s="36"/>
      <c r="U32" s="36"/>
      <c r="V32" s="36"/>
      <c r="W32" s="36"/>
      <c r="X32" s="36"/>
    </row>
    <row r="33" spans="1:25">
      <c r="A33" s="36"/>
      <c r="B33" s="826" t="s">
        <v>249</v>
      </c>
      <c r="C33" s="826"/>
      <c r="D33" s="826"/>
      <c r="E33" s="826"/>
      <c r="F33" s="826"/>
      <c r="G33" s="826"/>
      <c r="H33" s="826"/>
      <c r="I33" s="826"/>
      <c r="J33" s="826"/>
      <c r="K33" s="826"/>
      <c r="L33" s="826"/>
      <c r="M33" s="826"/>
      <c r="N33" s="826"/>
      <c r="O33" s="826"/>
      <c r="P33" s="826"/>
      <c r="Q33" s="826"/>
      <c r="R33" s="826"/>
      <c r="S33" s="826"/>
      <c r="T33" s="36"/>
      <c r="U33" s="36"/>
      <c r="V33" s="36"/>
      <c r="W33" s="36"/>
      <c r="X33" s="36"/>
    </row>
    <row r="34" spans="1:25">
      <c r="A34" s="36"/>
      <c r="B34" s="140" t="s">
        <v>250</v>
      </c>
      <c r="C34" s="141"/>
      <c r="D34" s="141"/>
      <c r="E34" s="141"/>
      <c r="F34" s="141"/>
      <c r="G34" s="141"/>
      <c r="H34" s="141"/>
      <c r="I34" s="141"/>
      <c r="J34" s="141"/>
      <c r="K34" s="141"/>
      <c r="L34" s="141"/>
      <c r="M34" s="141"/>
      <c r="N34" s="141"/>
      <c r="O34" s="141"/>
      <c r="P34" s="141"/>
      <c r="Q34" s="141"/>
      <c r="R34" s="141"/>
      <c r="S34" s="141"/>
      <c r="T34" s="36"/>
      <c r="U34" s="36"/>
      <c r="V34" s="36"/>
      <c r="W34" s="36"/>
      <c r="X34" s="36"/>
    </row>
    <row r="35" spans="1:25">
      <c r="A35" s="36"/>
      <c r="B35" s="36"/>
      <c r="C35" s="36"/>
      <c r="D35" s="36"/>
      <c r="E35" s="36"/>
      <c r="F35" s="36"/>
      <c r="G35" s="36"/>
      <c r="H35" s="36"/>
      <c r="I35" s="36"/>
      <c r="J35" s="36"/>
      <c r="K35" s="36"/>
      <c r="L35" s="36"/>
      <c r="M35" s="36"/>
      <c r="N35" s="36"/>
      <c r="O35" s="36"/>
      <c r="P35" s="36"/>
      <c r="Q35" s="36"/>
      <c r="R35" s="36"/>
      <c r="S35" s="36"/>
      <c r="T35" s="36"/>
      <c r="U35" s="36"/>
      <c r="V35" s="36"/>
      <c r="W35" s="36"/>
      <c r="X35" s="36"/>
    </row>
    <row r="36" spans="1:25" ht="15.6">
      <c r="A36" s="36"/>
      <c r="B36" s="139" t="s">
        <v>251</v>
      </c>
      <c r="C36" s="139"/>
      <c r="D36" s="36"/>
      <c r="E36" s="36"/>
      <c r="F36" s="36"/>
      <c r="G36" s="36"/>
      <c r="H36" s="36"/>
      <c r="I36" s="36"/>
      <c r="J36" s="36"/>
      <c r="K36" s="36"/>
      <c r="L36" s="36"/>
      <c r="M36" s="36"/>
      <c r="N36" s="36"/>
      <c r="O36" s="36"/>
      <c r="P36" s="36"/>
      <c r="Q36" s="36"/>
      <c r="R36" s="36"/>
      <c r="S36" s="36"/>
      <c r="T36" s="36"/>
      <c r="U36" s="36"/>
      <c r="V36" s="36"/>
      <c r="W36" s="36"/>
      <c r="X36" s="36"/>
    </row>
    <row r="37" spans="1:25">
      <c r="A37" s="36"/>
      <c r="B37" s="36"/>
      <c r="C37" s="36"/>
      <c r="D37" s="36"/>
      <c r="E37" s="36"/>
      <c r="F37" s="36"/>
      <c r="G37" s="36"/>
      <c r="H37" s="36"/>
      <c r="I37" s="36"/>
      <c r="J37" s="36"/>
      <c r="K37" s="36"/>
      <c r="L37" s="36"/>
      <c r="M37" s="36"/>
      <c r="N37" s="36"/>
      <c r="O37" s="36"/>
      <c r="P37" s="36"/>
      <c r="Q37" s="36"/>
      <c r="R37" s="36"/>
      <c r="S37" s="36"/>
      <c r="T37" s="36"/>
      <c r="U37" s="36"/>
      <c r="V37" s="36"/>
      <c r="W37" s="36"/>
      <c r="X37" s="36"/>
    </row>
    <row r="38" spans="1:25">
      <c r="A38" s="36"/>
      <c r="B38" s="36"/>
      <c r="C38" s="833" t="s">
        <v>252</v>
      </c>
      <c r="D38" s="834"/>
      <c r="E38" s="835" t="s">
        <v>40</v>
      </c>
      <c r="F38" s="831"/>
      <c r="G38" s="830" t="s">
        <v>41</v>
      </c>
      <c r="H38" s="831"/>
      <c r="I38" s="830" t="s">
        <v>42</v>
      </c>
      <c r="J38" s="831"/>
      <c r="K38" s="830" t="s">
        <v>43</v>
      </c>
      <c r="L38" s="831"/>
      <c r="M38" s="830" t="s">
        <v>96</v>
      </c>
      <c r="N38" s="831"/>
      <c r="O38" s="830" t="s">
        <v>253</v>
      </c>
      <c r="P38" s="831"/>
      <c r="Q38" s="830" t="s">
        <v>254</v>
      </c>
      <c r="R38" s="831"/>
      <c r="S38" s="830" t="s">
        <v>255</v>
      </c>
      <c r="T38" s="831"/>
      <c r="U38" s="36"/>
      <c r="V38" s="36"/>
      <c r="W38" s="36"/>
      <c r="X38" s="36"/>
      <c r="Y38" s="36"/>
    </row>
    <row r="39" spans="1:25" ht="21.6">
      <c r="A39" s="36"/>
      <c r="B39" s="143" t="s">
        <v>256</v>
      </c>
      <c r="C39" s="144" t="s">
        <v>257</v>
      </c>
      <c r="D39" s="144" t="s">
        <v>258</v>
      </c>
      <c r="E39" s="144" t="s">
        <v>257</v>
      </c>
      <c r="F39" s="144" t="s">
        <v>259</v>
      </c>
      <c r="G39" s="144" t="s">
        <v>257</v>
      </c>
      <c r="H39" s="694" t="s">
        <v>260</v>
      </c>
      <c r="I39" s="144" t="s">
        <v>257</v>
      </c>
      <c r="J39" s="144" t="s">
        <v>259</v>
      </c>
      <c r="K39" s="144" t="s">
        <v>257</v>
      </c>
      <c r="L39" s="694" t="s">
        <v>261</v>
      </c>
      <c r="M39" s="144" t="s">
        <v>257</v>
      </c>
      <c r="N39" s="694" t="s">
        <v>262</v>
      </c>
      <c r="O39" s="144" t="s">
        <v>257</v>
      </c>
      <c r="P39" s="694" t="s">
        <v>263</v>
      </c>
      <c r="Q39" s="144" t="s">
        <v>257</v>
      </c>
      <c r="R39" s="694" t="s">
        <v>264</v>
      </c>
      <c r="S39" s="144" t="s">
        <v>257</v>
      </c>
      <c r="T39" s="694" t="s">
        <v>265</v>
      </c>
      <c r="U39" s="36"/>
      <c r="V39" s="36"/>
      <c r="W39" s="36"/>
      <c r="X39" s="36"/>
      <c r="Y39" s="36"/>
    </row>
    <row r="40" spans="1:25">
      <c r="A40" s="36"/>
      <c r="B40" s="57" t="s">
        <v>55</v>
      </c>
      <c r="C40" s="466">
        <v>2</v>
      </c>
      <c r="D40" s="466">
        <v>124</v>
      </c>
      <c r="E40" s="160">
        <v>5</v>
      </c>
      <c r="F40" s="160">
        <v>38</v>
      </c>
      <c r="G40" s="160">
        <v>1</v>
      </c>
      <c r="H40" s="83">
        <v>5</v>
      </c>
      <c r="I40" s="51">
        <v>6</v>
      </c>
      <c r="J40" s="51">
        <v>106</v>
      </c>
      <c r="K40" s="51">
        <v>5</v>
      </c>
      <c r="L40" s="51">
        <v>24</v>
      </c>
      <c r="M40" s="51">
        <v>2</v>
      </c>
      <c r="N40" s="51">
        <v>15</v>
      </c>
      <c r="O40" s="51">
        <v>2</v>
      </c>
      <c r="P40" s="51">
        <v>215</v>
      </c>
      <c r="Q40" s="51">
        <v>5</v>
      </c>
      <c r="R40" s="51">
        <v>306</v>
      </c>
      <c r="S40" s="51">
        <v>7</v>
      </c>
      <c r="T40" s="51">
        <v>249</v>
      </c>
      <c r="U40" s="36"/>
      <c r="V40" s="36"/>
      <c r="W40" s="36"/>
      <c r="X40" s="36"/>
      <c r="Y40" s="36"/>
    </row>
    <row r="41" spans="1:25">
      <c r="A41" s="36"/>
      <c r="B41" s="57" t="s">
        <v>266</v>
      </c>
      <c r="C41" s="466">
        <v>0</v>
      </c>
      <c r="D41" s="466">
        <v>0</v>
      </c>
      <c r="E41" s="160">
        <v>0</v>
      </c>
      <c r="F41" s="160">
        <v>0</v>
      </c>
      <c r="G41" s="160">
        <v>0</v>
      </c>
      <c r="H41" s="676" t="s">
        <v>267</v>
      </c>
      <c r="I41" s="51">
        <v>1</v>
      </c>
      <c r="J41" s="51">
        <v>54</v>
      </c>
      <c r="K41" s="51">
        <v>0</v>
      </c>
      <c r="L41" s="51">
        <v>0</v>
      </c>
      <c r="M41" s="51">
        <v>1</v>
      </c>
      <c r="N41" s="51">
        <v>3</v>
      </c>
      <c r="O41" s="51">
        <v>0</v>
      </c>
      <c r="P41" s="51">
        <v>0</v>
      </c>
      <c r="Q41" s="51">
        <v>0</v>
      </c>
      <c r="R41" s="51">
        <v>0</v>
      </c>
      <c r="S41" s="51">
        <v>0</v>
      </c>
      <c r="T41" s="51">
        <v>0</v>
      </c>
      <c r="U41" s="36"/>
      <c r="V41" s="36"/>
      <c r="W41" s="36"/>
      <c r="X41" s="36"/>
      <c r="Y41" s="36"/>
    </row>
    <row r="42" spans="1:25">
      <c r="A42" s="36"/>
      <c r="B42" s="57" t="s">
        <v>56</v>
      </c>
      <c r="C42" s="466">
        <v>1</v>
      </c>
      <c r="D42" s="466">
        <v>118</v>
      </c>
      <c r="E42" s="160">
        <v>3</v>
      </c>
      <c r="F42" s="160">
        <v>135</v>
      </c>
      <c r="G42" s="696" t="s">
        <v>268</v>
      </c>
      <c r="H42" s="695" t="s">
        <v>269</v>
      </c>
      <c r="I42" s="51">
        <v>1</v>
      </c>
      <c r="J42" s="51">
        <v>2</v>
      </c>
      <c r="K42" s="51">
        <v>1</v>
      </c>
      <c r="L42" s="51">
        <v>1</v>
      </c>
      <c r="M42" s="51">
        <v>1</v>
      </c>
      <c r="N42" s="51">
        <v>7</v>
      </c>
      <c r="O42" s="51">
        <v>2</v>
      </c>
      <c r="P42" s="51">
        <v>20</v>
      </c>
      <c r="Q42" s="51">
        <v>2</v>
      </c>
      <c r="R42" s="51">
        <v>36</v>
      </c>
      <c r="S42" s="51">
        <v>2</v>
      </c>
      <c r="T42" s="51">
        <v>13</v>
      </c>
      <c r="U42" s="36"/>
      <c r="V42" s="36"/>
      <c r="W42" s="36"/>
      <c r="X42" s="36"/>
      <c r="Y42" s="36"/>
    </row>
    <row r="43" spans="1:25">
      <c r="A43" s="36"/>
      <c r="B43" s="57" t="s">
        <v>57</v>
      </c>
      <c r="C43" s="466">
        <v>0</v>
      </c>
      <c r="D43" s="466">
        <v>0</v>
      </c>
      <c r="E43" s="160">
        <v>0</v>
      </c>
      <c r="F43" s="160">
        <v>158</v>
      </c>
      <c r="G43" s="160">
        <v>4</v>
      </c>
      <c r="H43" s="83">
        <v>92</v>
      </c>
      <c r="I43" s="51">
        <v>0</v>
      </c>
      <c r="J43" s="51">
        <v>0</v>
      </c>
      <c r="K43" s="51">
        <v>1</v>
      </c>
      <c r="L43" s="51">
        <v>19</v>
      </c>
      <c r="M43" s="51">
        <v>0</v>
      </c>
      <c r="N43" s="51">
        <v>0</v>
      </c>
      <c r="O43" s="51">
        <v>1</v>
      </c>
      <c r="P43" s="51">
        <v>364</v>
      </c>
      <c r="Q43" s="51">
        <v>3</v>
      </c>
      <c r="R43" s="51">
        <v>249</v>
      </c>
      <c r="S43" s="51">
        <v>3</v>
      </c>
      <c r="T43" s="51">
        <v>5</v>
      </c>
      <c r="U43" s="36"/>
      <c r="V43" s="36"/>
      <c r="W43" s="36"/>
      <c r="X43" s="36"/>
      <c r="Y43" s="36"/>
    </row>
    <row r="44" spans="1:25">
      <c r="A44" s="36"/>
      <c r="B44" s="57" t="s">
        <v>58</v>
      </c>
      <c r="C44" s="466">
        <v>1</v>
      </c>
      <c r="D44" s="466">
        <v>8</v>
      </c>
      <c r="E44" s="160">
        <v>1</v>
      </c>
      <c r="F44" s="160">
        <v>26</v>
      </c>
      <c r="G44" s="160">
        <v>0</v>
      </c>
      <c r="H44" s="83" t="s">
        <v>270</v>
      </c>
      <c r="I44" s="51">
        <v>1</v>
      </c>
      <c r="J44" s="51">
        <v>54</v>
      </c>
      <c r="K44" s="51">
        <v>1</v>
      </c>
      <c r="L44" s="51">
        <v>94</v>
      </c>
      <c r="M44" s="51">
        <v>1</v>
      </c>
      <c r="N44" s="51">
        <v>4</v>
      </c>
      <c r="O44" s="51">
        <v>0</v>
      </c>
      <c r="P44" s="51">
        <v>0</v>
      </c>
      <c r="Q44" s="51">
        <v>0</v>
      </c>
      <c r="R44" s="51">
        <v>0</v>
      </c>
      <c r="S44" s="51">
        <v>0</v>
      </c>
      <c r="T44" s="51">
        <v>0</v>
      </c>
      <c r="U44" s="36"/>
      <c r="V44" s="36"/>
      <c r="W44" s="36"/>
      <c r="X44" s="36"/>
      <c r="Y44" s="36"/>
    </row>
    <row r="45" spans="1:25">
      <c r="A45" s="36"/>
      <c r="B45" s="57" t="s">
        <v>59</v>
      </c>
      <c r="C45" s="466">
        <v>1</v>
      </c>
      <c r="D45" s="466">
        <v>2</v>
      </c>
      <c r="E45" s="160">
        <v>0</v>
      </c>
      <c r="F45" s="160">
        <v>0</v>
      </c>
      <c r="G45" s="160">
        <v>2</v>
      </c>
      <c r="H45" s="83">
        <v>74</v>
      </c>
      <c r="I45" s="51">
        <v>1</v>
      </c>
      <c r="J45" s="51">
        <v>73</v>
      </c>
      <c r="K45" s="51">
        <v>4</v>
      </c>
      <c r="L45" s="51">
        <v>19</v>
      </c>
      <c r="M45" s="51">
        <v>0</v>
      </c>
      <c r="N45" s="51">
        <v>0</v>
      </c>
      <c r="O45" s="51">
        <v>0</v>
      </c>
      <c r="P45" s="51">
        <v>0</v>
      </c>
      <c r="Q45" s="51">
        <v>1</v>
      </c>
      <c r="R45" s="51">
        <v>8</v>
      </c>
      <c r="S45" s="51">
        <v>0</v>
      </c>
      <c r="T45" s="51">
        <v>0</v>
      </c>
      <c r="U45" s="36"/>
      <c r="V45" s="36"/>
      <c r="W45" s="36"/>
      <c r="X45" s="36"/>
      <c r="Y45" s="36"/>
    </row>
    <row r="46" spans="1:25">
      <c r="A46" s="36"/>
      <c r="B46" s="36"/>
      <c r="C46" s="36"/>
      <c r="D46" s="36"/>
      <c r="E46" s="36"/>
      <c r="F46" s="36"/>
      <c r="G46" s="36"/>
      <c r="H46" s="36"/>
      <c r="I46" s="36"/>
      <c r="J46" s="36"/>
      <c r="K46" s="36"/>
      <c r="L46" s="36"/>
      <c r="M46" s="36"/>
      <c r="N46" s="36"/>
      <c r="O46" s="36"/>
      <c r="P46" s="36"/>
      <c r="Q46" s="36"/>
      <c r="R46" s="36"/>
      <c r="S46" s="36"/>
      <c r="T46" s="36"/>
      <c r="U46" s="36"/>
      <c r="V46" s="36"/>
      <c r="W46" s="36"/>
      <c r="X46" s="36"/>
      <c r="Y46" s="36"/>
    </row>
    <row r="47" spans="1:25" ht="21.6">
      <c r="A47" s="36"/>
      <c r="B47" s="143" t="s">
        <v>195</v>
      </c>
      <c r="C47" s="144" t="s">
        <v>257</v>
      </c>
      <c r="D47" s="144" t="s">
        <v>259</v>
      </c>
      <c r="E47" s="144" t="s">
        <v>257</v>
      </c>
      <c r="F47" s="144" t="s">
        <v>259</v>
      </c>
      <c r="G47" s="144" t="s">
        <v>257</v>
      </c>
      <c r="H47" s="694" t="s">
        <v>260</v>
      </c>
      <c r="I47" s="144" t="s">
        <v>257</v>
      </c>
      <c r="J47" s="144" t="s">
        <v>259</v>
      </c>
      <c r="K47" s="144" t="s">
        <v>257</v>
      </c>
      <c r="L47" s="694" t="s">
        <v>261</v>
      </c>
      <c r="M47" s="144" t="s">
        <v>257</v>
      </c>
      <c r="N47" s="694" t="s">
        <v>262</v>
      </c>
      <c r="O47" s="144" t="s">
        <v>257</v>
      </c>
      <c r="P47" s="694" t="s">
        <v>263</v>
      </c>
      <c r="Q47" s="144" t="s">
        <v>257</v>
      </c>
      <c r="R47" s="694" t="s">
        <v>264</v>
      </c>
      <c r="S47" s="144" t="s">
        <v>257</v>
      </c>
      <c r="T47" s="694" t="s">
        <v>265</v>
      </c>
      <c r="U47" s="36"/>
      <c r="V47" s="36"/>
      <c r="W47" s="36"/>
      <c r="X47" s="36"/>
      <c r="Y47" s="36"/>
    </row>
    <row r="48" spans="1:25">
      <c r="A48" s="36"/>
      <c r="B48" s="57" t="s">
        <v>71</v>
      </c>
      <c r="C48" s="51">
        <v>4</v>
      </c>
      <c r="D48" s="51">
        <v>150</v>
      </c>
      <c r="E48" s="83">
        <v>7</v>
      </c>
      <c r="F48" s="83">
        <v>182</v>
      </c>
      <c r="G48" s="695" t="s">
        <v>271</v>
      </c>
      <c r="H48" s="695" t="s">
        <v>272</v>
      </c>
      <c r="I48" s="51">
        <v>8</v>
      </c>
      <c r="J48" s="51">
        <v>214</v>
      </c>
      <c r="K48" s="51">
        <v>9</v>
      </c>
      <c r="L48" s="51">
        <v>41</v>
      </c>
      <c r="M48" s="51">
        <v>3</v>
      </c>
      <c r="N48" s="51">
        <v>18</v>
      </c>
      <c r="O48" s="51">
        <v>2</v>
      </c>
      <c r="P48" s="51">
        <v>524</v>
      </c>
      <c r="Q48" s="51">
        <v>9</v>
      </c>
      <c r="R48" s="51">
        <v>557</v>
      </c>
      <c r="S48" s="51">
        <v>9</v>
      </c>
      <c r="T48" s="51">
        <v>231</v>
      </c>
      <c r="U48" s="36"/>
      <c r="V48" s="36"/>
      <c r="W48" s="36"/>
      <c r="X48" s="36"/>
      <c r="Y48" s="36"/>
    </row>
    <row r="49" spans="1:25">
      <c r="A49" s="36"/>
      <c r="B49" s="57" t="s">
        <v>69</v>
      </c>
      <c r="C49" s="51">
        <v>1</v>
      </c>
      <c r="D49" s="51">
        <v>102</v>
      </c>
      <c r="E49" s="83">
        <v>2</v>
      </c>
      <c r="F49" s="83">
        <v>175</v>
      </c>
      <c r="G49" s="160">
        <v>2</v>
      </c>
      <c r="H49" s="83">
        <v>154</v>
      </c>
      <c r="I49" s="51">
        <v>2</v>
      </c>
      <c r="J49" s="51">
        <v>75</v>
      </c>
      <c r="K49" s="51">
        <v>3</v>
      </c>
      <c r="L49" s="51">
        <v>116</v>
      </c>
      <c r="M49" s="51">
        <v>2</v>
      </c>
      <c r="N49" s="51">
        <v>11</v>
      </c>
      <c r="O49" s="51">
        <v>3</v>
      </c>
      <c r="P49" s="51">
        <v>75</v>
      </c>
      <c r="Q49" s="51">
        <v>2</v>
      </c>
      <c r="R49" s="51">
        <v>42</v>
      </c>
      <c r="S49" s="51">
        <v>3</v>
      </c>
      <c r="T49" s="51">
        <v>36</v>
      </c>
      <c r="U49" s="36"/>
      <c r="V49" s="36"/>
      <c r="W49" s="36"/>
      <c r="X49" s="36"/>
      <c r="Y49" s="36"/>
    </row>
    <row r="50" spans="1:25">
      <c r="A50" s="36"/>
      <c r="B50" s="73"/>
      <c r="C50" s="73"/>
      <c r="D50" s="73"/>
      <c r="E50" s="163"/>
      <c r="F50" s="163"/>
      <c r="G50" s="163"/>
      <c r="H50" s="163"/>
      <c r="I50" s="112"/>
      <c r="J50" s="112"/>
      <c r="K50" s="112"/>
      <c r="L50" s="112"/>
      <c r="M50" s="112"/>
      <c r="N50" s="112"/>
      <c r="O50" s="112"/>
      <c r="P50" s="112"/>
      <c r="Q50" s="112"/>
      <c r="R50" s="112"/>
      <c r="S50" s="112"/>
      <c r="T50" s="112"/>
      <c r="U50" s="36"/>
      <c r="V50" s="36"/>
      <c r="W50" s="36"/>
      <c r="X50" s="36"/>
      <c r="Y50" s="36"/>
    </row>
    <row r="51" spans="1:25">
      <c r="A51" s="36"/>
      <c r="B51" s="73"/>
      <c r="C51" s="73"/>
      <c r="D51" s="36"/>
      <c r="E51" s="36"/>
      <c r="F51" s="36"/>
      <c r="G51" s="36"/>
      <c r="H51" s="36"/>
      <c r="I51" s="36"/>
      <c r="J51" s="36"/>
      <c r="K51" s="36"/>
      <c r="L51" s="36"/>
      <c r="M51" s="36"/>
      <c r="N51" s="36"/>
      <c r="O51" s="36"/>
      <c r="P51" s="36"/>
      <c r="Q51" s="36"/>
      <c r="R51" s="36"/>
      <c r="S51" s="36"/>
      <c r="T51" s="36"/>
      <c r="U51" s="36"/>
      <c r="V51" s="36"/>
      <c r="W51" s="36"/>
      <c r="X51" s="36"/>
    </row>
    <row r="52" spans="1:25">
      <c r="A52" s="36"/>
      <c r="B52" s="617" t="s">
        <v>273</v>
      </c>
      <c r="C52" s="617"/>
      <c r="D52" s="618"/>
      <c r="E52" s="618"/>
      <c r="F52" s="618"/>
      <c r="G52" s="618"/>
      <c r="H52" s="618"/>
      <c r="I52" s="618"/>
      <c r="J52" s="618"/>
      <c r="K52" s="618"/>
      <c r="L52" s="618"/>
      <c r="M52" s="618"/>
      <c r="N52" s="618"/>
      <c r="O52" s="618"/>
      <c r="P52" s="618"/>
      <c r="Q52" s="618"/>
      <c r="R52" s="618"/>
      <c r="S52" s="618"/>
      <c r="T52" s="36"/>
      <c r="U52" s="36"/>
      <c r="V52" s="36"/>
      <c r="W52" s="36"/>
      <c r="X52" s="36"/>
    </row>
    <row r="53" spans="1:25">
      <c r="A53" s="36"/>
      <c r="B53" s="617" t="s">
        <v>274</v>
      </c>
      <c r="C53" s="617"/>
      <c r="D53" s="617"/>
      <c r="E53" s="618"/>
      <c r="F53" s="618"/>
      <c r="G53" s="618"/>
      <c r="H53" s="618"/>
      <c r="I53" s="618"/>
      <c r="J53" s="618"/>
      <c r="K53" s="618"/>
      <c r="L53" s="618"/>
      <c r="M53" s="618"/>
      <c r="N53" s="618"/>
      <c r="O53" s="618"/>
      <c r="P53" s="618"/>
      <c r="Q53" s="618"/>
      <c r="R53" s="618"/>
      <c r="S53" s="618"/>
      <c r="T53" s="36"/>
      <c r="U53" s="36"/>
      <c r="V53" s="36"/>
      <c r="W53" s="36"/>
      <c r="X53" s="36"/>
    </row>
    <row r="54" spans="1:25">
      <c r="A54" s="36"/>
      <c r="B54" s="617" t="s">
        <v>275</v>
      </c>
      <c r="C54" s="617"/>
      <c r="D54" s="617"/>
      <c r="E54" s="618"/>
      <c r="F54" s="618"/>
      <c r="G54" s="618"/>
      <c r="H54" s="618"/>
      <c r="I54" s="618"/>
      <c r="J54" s="618"/>
      <c r="K54" s="618"/>
      <c r="L54" s="618"/>
      <c r="M54" s="618"/>
      <c r="N54" s="618"/>
      <c r="O54" s="618"/>
      <c r="P54" s="618"/>
      <c r="Q54" s="618"/>
      <c r="R54" s="618"/>
      <c r="S54" s="618"/>
      <c r="T54" s="36"/>
      <c r="U54" s="36"/>
      <c r="V54" s="36"/>
      <c r="W54" s="36"/>
      <c r="X54" s="36"/>
    </row>
    <row r="55" spans="1:25">
      <c r="A55" s="36"/>
      <c r="B55" s="617" t="s">
        <v>276</v>
      </c>
      <c r="C55" s="617"/>
      <c r="D55" s="617"/>
      <c r="E55" s="618"/>
      <c r="F55" s="618"/>
      <c r="G55" s="618"/>
      <c r="H55" s="618"/>
      <c r="I55" s="618"/>
      <c r="J55" s="618"/>
      <c r="K55" s="618"/>
      <c r="L55" s="618"/>
      <c r="M55" s="618"/>
      <c r="N55" s="618"/>
      <c r="O55" s="618"/>
      <c r="P55" s="618"/>
      <c r="Q55" s="618"/>
      <c r="R55" s="618"/>
      <c r="S55" s="618"/>
      <c r="T55" s="36"/>
      <c r="U55" s="36"/>
      <c r="V55" s="36"/>
      <c r="W55" s="36"/>
      <c r="X55" s="36"/>
    </row>
    <row r="56" spans="1:25">
      <c r="A56" s="36"/>
      <c r="B56" s="617" t="s">
        <v>277</v>
      </c>
      <c r="C56" s="617"/>
      <c r="D56" s="617"/>
      <c r="E56" s="618"/>
      <c r="F56" s="618"/>
      <c r="G56" s="618"/>
      <c r="H56" s="618"/>
      <c r="I56" s="618"/>
      <c r="J56" s="618"/>
      <c r="K56" s="618"/>
      <c r="L56" s="618"/>
      <c r="M56" s="618"/>
      <c r="N56" s="618"/>
      <c r="O56" s="618"/>
      <c r="P56" s="618"/>
      <c r="Q56" s="618"/>
      <c r="R56" s="618"/>
      <c r="S56" s="618"/>
      <c r="T56" s="36"/>
      <c r="U56" s="36"/>
      <c r="V56" s="36"/>
      <c r="W56" s="36"/>
      <c r="X56" s="36"/>
    </row>
    <row r="57" spans="1:25">
      <c r="A57" s="36"/>
      <c r="B57" s="617" t="s">
        <v>278</v>
      </c>
      <c r="C57" s="617"/>
      <c r="D57" s="617"/>
      <c r="E57" s="618"/>
      <c r="F57" s="618"/>
      <c r="G57" s="618"/>
      <c r="H57" s="618"/>
      <c r="I57" s="618"/>
      <c r="J57" s="618"/>
      <c r="K57" s="618"/>
      <c r="L57" s="618"/>
      <c r="M57" s="618"/>
      <c r="N57" s="618"/>
      <c r="O57" s="618"/>
      <c r="P57" s="618"/>
      <c r="Q57" s="618"/>
      <c r="R57" s="618"/>
      <c r="S57" s="618"/>
      <c r="T57" s="36"/>
      <c r="U57" s="36"/>
      <c r="V57" s="36"/>
      <c r="W57" s="36"/>
      <c r="X57" s="36"/>
    </row>
    <row r="58" spans="1:25">
      <c r="A58" s="36"/>
      <c r="B58" s="617" t="s">
        <v>279</v>
      </c>
      <c r="C58" s="617"/>
      <c r="D58" s="617"/>
      <c r="E58" s="618"/>
      <c r="F58" s="618"/>
      <c r="G58" s="618"/>
      <c r="H58" s="618"/>
      <c r="I58" s="618"/>
      <c r="J58" s="618"/>
      <c r="K58" s="618"/>
      <c r="L58" s="618"/>
      <c r="M58" s="618"/>
      <c r="N58" s="618"/>
      <c r="O58" s="618"/>
      <c r="P58" s="618"/>
      <c r="Q58" s="618"/>
      <c r="R58" s="618"/>
      <c r="S58" s="618"/>
      <c r="T58" s="36"/>
      <c r="U58" s="36"/>
      <c r="V58" s="36"/>
      <c r="W58" s="36"/>
      <c r="X58" s="36"/>
    </row>
    <row r="59" spans="1:25">
      <c r="A59" s="36"/>
      <c r="B59" s="617" t="s">
        <v>280</v>
      </c>
      <c r="C59" s="617"/>
      <c r="D59" s="617"/>
      <c r="E59" s="618"/>
      <c r="F59" s="618"/>
      <c r="G59" s="618"/>
      <c r="H59" s="618"/>
      <c r="I59" s="618"/>
      <c r="J59" s="618"/>
      <c r="K59" s="618"/>
      <c r="L59" s="618"/>
      <c r="M59" s="618"/>
      <c r="N59" s="618"/>
      <c r="O59" s="618"/>
      <c r="P59" s="618"/>
      <c r="Q59" s="618"/>
      <c r="R59" s="618"/>
      <c r="S59" s="618"/>
      <c r="T59" s="36"/>
      <c r="U59" s="36"/>
      <c r="V59" s="36"/>
      <c r="W59" s="36"/>
      <c r="X59" s="36"/>
    </row>
    <row r="60" spans="1:25">
      <c r="A60" s="36"/>
      <c r="B60" s="832" t="s">
        <v>281</v>
      </c>
      <c r="C60" s="832"/>
      <c r="D60" s="832"/>
      <c r="E60" s="832"/>
      <c r="F60" s="832"/>
      <c r="G60" s="832"/>
      <c r="H60" s="832"/>
      <c r="I60" s="832"/>
      <c r="J60" s="832"/>
      <c r="K60" s="832"/>
      <c r="L60" s="832"/>
      <c r="M60" s="832"/>
      <c r="N60" s="832"/>
      <c r="O60" s="832"/>
      <c r="P60" s="832"/>
      <c r="Q60" s="832"/>
      <c r="R60" s="832"/>
      <c r="S60" s="832"/>
      <c r="T60" s="36"/>
      <c r="U60" s="36"/>
      <c r="V60" s="36"/>
      <c r="W60" s="36"/>
      <c r="X60" s="36"/>
    </row>
    <row r="61" spans="1:25">
      <c r="A61" s="36"/>
      <c r="B61" s="620" t="s">
        <v>282</v>
      </c>
      <c r="C61" s="619"/>
      <c r="D61" s="619"/>
      <c r="E61" s="619"/>
      <c r="F61" s="619"/>
      <c r="G61" s="619"/>
      <c r="H61" s="619"/>
      <c r="I61" s="619"/>
      <c r="J61" s="619"/>
      <c r="K61" s="619"/>
      <c r="L61" s="619"/>
      <c r="M61" s="619"/>
      <c r="N61" s="619"/>
      <c r="O61" s="619"/>
      <c r="P61" s="619"/>
      <c r="Q61" s="619"/>
      <c r="R61" s="619"/>
      <c r="S61" s="619"/>
      <c r="T61" s="36"/>
      <c r="U61" s="36"/>
      <c r="V61" s="36"/>
      <c r="W61" s="36"/>
      <c r="X61" s="36"/>
    </row>
    <row r="62" spans="1:25">
      <c r="B62" s="544"/>
    </row>
  </sheetData>
  <mergeCells count="23">
    <mergeCell ref="O38:P38"/>
    <mergeCell ref="Q38:R38"/>
    <mergeCell ref="S38:T38"/>
    <mergeCell ref="B60:S60"/>
    <mergeCell ref="B31:S31"/>
    <mergeCell ref="B32:S32"/>
    <mergeCell ref="B33:S33"/>
    <mergeCell ref="C38:D38"/>
    <mergeCell ref="E38:F38"/>
    <mergeCell ref="G38:H38"/>
    <mergeCell ref="I38:J38"/>
    <mergeCell ref="K38:L38"/>
    <mergeCell ref="M38:N38"/>
    <mergeCell ref="B30:K30"/>
    <mergeCell ref="B21:S21"/>
    <mergeCell ref="B22:S22"/>
    <mergeCell ref="B23:S23"/>
    <mergeCell ref="B24:S24"/>
    <mergeCell ref="B25:S25"/>
    <mergeCell ref="B26:S26"/>
    <mergeCell ref="B27:S27"/>
    <mergeCell ref="B28:K28"/>
    <mergeCell ref="B29:K29"/>
  </mergeCells>
  <hyperlinks>
    <hyperlink ref="A1" location="'Data Pack Overview'!A1" display="H" xr:uid="{2A632611-B08E-41A7-BB70-F4D6722CC41A}"/>
  </hyperlink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716A9-FB81-41EF-ADEA-716584598137}">
  <sheetPr>
    <tabColor theme="4"/>
  </sheetPr>
  <dimension ref="A1:S61"/>
  <sheetViews>
    <sheetView showGridLines="0" zoomScale="110" zoomScaleNormal="110" workbookViewId="0"/>
  </sheetViews>
  <sheetFormatPr defaultRowHeight="14.4"/>
  <cols>
    <col min="1" max="1" width="2.44140625" customWidth="1"/>
    <col min="2" max="2" width="38.44140625" customWidth="1"/>
    <col min="3" max="3" width="8.5546875" customWidth="1"/>
    <col min="4" max="4" width="7" customWidth="1"/>
    <col min="5" max="19" width="6.6640625" customWidth="1"/>
  </cols>
  <sheetData>
    <row r="1" spans="1:19">
      <c r="A1" s="18" t="s">
        <v>32</v>
      </c>
      <c r="B1" s="36"/>
      <c r="C1" s="36"/>
      <c r="D1" s="36"/>
      <c r="E1" s="36"/>
      <c r="F1" s="36"/>
      <c r="G1" s="36"/>
      <c r="L1" s="36"/>
      <c r="M1" s="36"/>
      <c r="N1" s="36"/>
      <c r="O1" s="36"/>
      <c r="P1" s="36"/>
      <c r="Q1" s="36"/>
      <c r="R1" s="36"/>
      <c r="S1" s="36"/>
    </row>
    <row r="2" spans="1:19" ht="21">
      <c r="A2" s="36"/>
      <c r="B2" s="39" t="s">
        <v>212</v>
      </c>
      <c r="C2" s="39"/>
      <c r="D2" s="39"/>
      <c r="E2" s="36"/>
      <c r="F2" s="36"/>
      <c r="G2" s="36"/>
      <c r="L2" s="36"/>
      <c r="M2" s="36"/>
      <c r="N2" s="36"/>
      <c r="O2" s="36"/>
      <c r="P2" s="36"/>
      <c r="Q2" s="36"/>
      <c r="R2" s="36"/>
      <c r="S2" s="36"/>
    </row>
    <row r="3" spans="1:19">
      <c r="A3" s="36"/>
      <c r="B3" s="36"/>
      <c r="C3" s="36"/>
      <c r="D3" s="36"/>
      <c r="E3" s="36"/>
      <c r="F3" s="36"/>
      <c r="G3" s="36"/>
      <c r="L3" s="36"/>
      <c r="M3" s="36"/>
      <c r="N3" s="36"/>
      <c r="O3" s="36"/>
      <c r="P3" s="36"/>
      <c r="Q3" s="36"/>
      <c r="R3" s="36"/>
      <c r="S3" s="36"/>
    </row>
    <row r="4" spans="1:19" ht="15.6">
      <c r="A4" s="36"/>
      <c r="B4" s="139" t="s">
        <v>18</v>
      </c>
      <c r="C4" s="139"/>
      <c r="D4" s="139"/>
      <c r="E4" s="36"/>
      <c r="F4" s="36"/>
      <c r="G4" s="36"/>
      <c r="L4" s="36"/>
      <c r="M4" s="36"/>
      <c r="N4" s="36"/>
      <c r="O4" s="36"/>
      <c r="P4" s="36"/>
      <c r="Q4" s="36"/>
      <c r="R4" s="36"/>
      <c r="S4" s="36"/>
    </row>
    <row r="5" spans="1:19" ht="15.6">
      <c r="A5" s="36"/>
      <c r="B5" s="139"/>
      <c r="C5" s="139"/>
      <c r="D5" s="139"/>
      <c r="E5" s="36"/>
      <c r="F5" s="36"/>
      <c r="G5" s="36"/>
      <c r="L5" s="36"/>
      <c r="M5" s="36"/>
      <c r="N5" s="36"/>
      <c r="O5" s="36"/>
      <c r="P5" s="36"/>
      <c r="Q5" s="36"/>
      <c r="R5" s="36"/>
      <c r="S5" s="36"/>
    </row>
    <row r="6" spans="1:19">
      <c r="A6" s="36"/>
      <c r="B6" s="153"/>
      <c r="C6" s="62" t="s">
        <v>283</v>
      </c>
      <c r="D6" s="62" t="s">
        <v>40</v>
      </c>
      <c r="E6" s="62" t="s">
        <v>41</v>
      </c>
      <c r="F6" s="62" t="s">
        <v>42</v>
      </c>
      <c r="G6" s="62" t="s">
        <v>43</v>
      </c>
      <c r="H6" s="36"/>
      <c r="I6" s="36"/>
      <c r="J6" s="36"/>
      <c r="K6" s="36"/>
      <c r="L6" s="36"/>
      <c r="M6" s="36"/>
      <c r="N6" s="36"/>
      <c r="O6" s="36"/>
      <c r="P6" s="36"/>
      <c r="R6" s="36"/>
    </row>
    <row r="7" spans="1:19">
      <c r="A7" s="36"/>
      <c r="B7" s="246" t="s">
        <v>213</v>
      </c>
      <c r="C7" s="118">
        <v>1635</v>
      </c>
      <c r="D7" s="118">
        <v>1838</v>
      </c>
      <c r="E7" s="68">
        <v>1616</v>
      </c>
      <c r="F7" s="68">
        <v>1619</v>
      </c>
      <c r="G7" s="68">
        <v>1680</v>
      </c>
      <c r="H7" s="36"/>
      <c r="I7" s="36"/>
      <c r="J7" s="36"/>
      <c r="K7" s="36"/>
      <c r="L7" s="36"/>
      <c r="M7" s="36"/>
      <c r="N7" s="36"/>
      <c r="O7" s="36"/>
      <c r="P7" s="36"/>
      <c r="R7" s="36"/>
    </row>
    <row r="8" spans="1:19">
      <c r="A8" s="36"/>
      <c r="B8" s="201" t="s">
        <v>214</v>
      </c>
      <c r="C8" s="83">
        <v>3.09</v>
      </c>
      <c r="D8" s="83">
        <v>3.43</v>
      </c>
      <c r="E8" s="83">
        <v>2.97</v>
      </c>
      <c r="F8" s="83">
        <v>2.96</v>
      </c>
      <c r="G8" s="83">
        <v>3.08</v>
      </c>
      <c r="H8" s="36"/>
      <c r="I8" s="36"/>
      <c r="J8" s="36"/>
      <c r="K8" s="36"/>
      <c r="L8" s="36"/>
      <c r="M8" s="36"/>
      <c r="N8" s="36"/>
      <c r="O8" s="36"/>
      <c r="P8" s="36"/>
      <c r="R8" s="36"/>
    </row>
    <row r="9" spans="1:19">
      <c r="A9" s="36"/>
      <c r="B9" s="201" t="s">
        <v>284</v>
      </c>
      <c r="C9" s="83">
        <v>5</v>
      </c>
      <c r="D9" s="83">
        <v>9</v>
      </c>
      <c r="E9" s="83" t="s">
        <v>216</v>
      </c>
      <c r="F9" s="83">
        <v>10</v>
      </c>
      <c r="G9" s="83" t="s">
        <v>285</v>
      </c>
      <c r="H9" s="36"/>
      <c r="I9" s="36"/>
      <c r="J9" s="36"/>
      <c r="K9" s="36"/>
      <c r="L9" s="36"/>
      <c r="M9" s="36"/>
      <c r="N9" s="36"/>
      <c r="O9" s="36"/>
      <c r="P9" s="36"/>
      <c r="R9" s="36"/>
    </row>
    <row r="10" spans="1:19">
      <c r="A10" s="36"/>
      <c r="B10" s="246" t="s">
        <v>286</v>
      </c>
      <c r="C10" s="118">
        <v>1.6</v>
      </c>
      <c r="D10" s="118">
        <v>2.6</v>
      </c>
      <c r="E10" s="118" t="s">
        <v>220</v>
      </c>
      <c r="F10" s="83">
        <v>3.4</v>
      </c>
      <c r="G10" s="83">
        <v>3.9</v>
      </c>
      <c r="H10" s="36"/>
      <c r="I10" s="36"/>
      <c r="J10" s="36"/>
      <c r="K10" s="36"/>
      <c r="L10" s="36"/>
      <c r="M10" s="36"/>
      <c r="N10" s="36"/>
      <c r="O10" s="36"/>
      <c r="P10" s="36"/>
      <c r="R10" s="36"/>
    </row>
    <row r="11" spans="1:19">
      <c r="A11" s="36"/>
      <c r="B11" s="246" t="s">
        <v>221</v>
      </c>
      <c r="C11" s="118">
        <v>11</v>
      </c>
      <c r="D11" s="132">
        <v>11</v>
      </c>
      <c r="E11" s="118">
        <v>10</v>
      </c>
      <c r="F11" s="101">
        <v>14</v>
      </c>
      <c r="G11" s="83">
        <v>17</v>
      </c>
      <c r="H11" s="36"/>
      <c r="I11" s="36"/>
      <c r="J11" s="36"/>
      <c r="K11" s="36"/>
      <c r="L11" s="36"/>
      <c r="M11" s="36"/>
      <c r="N11" s="36"/>
      <c r="O11" s="36"/>
      <c r="P11" s="36"/>
      <c r="R11" s="36"/>
    </row>
    <row r="12" spans="1:19">
      <c r="A12" s="36"/>
      <c r="B12" s="246" t="s">
        <v>222</v>
      </c>
      <c r="C12" s="118">
        <v>3.6</v>
      </c>
      <c r="D12" s="132">
        <v>3.2</v>
      </c>
      <c r="E12" s="118">
        <v>3.4</v>
      </c>
      <c r="F12" s="83">
        <v>4.7</v>
      </c>
      <c r="G12" s="83">
        <v>5.5</v>
      </c>
      <c r="H12" s="36"/>
      <c r="I12" s="36"/>
      <c r="J12" s="36"/>
      <c r="K12" s="36"/>
      <c r="L12" s="36"/>
      <c r="M12" s="36"/>
      <c r="N12" s="36"/>
      <c r="O12" s="36"/>
      <c r="P12" s="36"/>
      <c r="R12" s="36"/>
    </row>
    <row r="13" spans="1:19">
      <c r="A13" s="36"/>
      <c r="B13" s="246" t="s">
        <v>224</v>
      </c>
      <c r="C13" s="118">
        <v>5.2</v>
      </c>
      <c r="D13" s="132">
        <v>5.8</v>
      </c>
      <c r="E13" s="118">
        <v>6.7</v>
      </c>
      <c r="F13" s="83">
        <v>8.1</v>
      </c>
      <c r="G13" s="83">
        <v>9.4</v>
      </c>
      <c r="H13" s="36"/>
      <c r="I13" s="36"/>
      <c r="J13" s="36"/>
      <c r="K13" s="36"/>
      <c r="L13" s="36"/>
      <c r="M13" s="36"/>
      <c r="N13" s="36"/>
      <c r="O13" s="36"/>
      <c r="P13" s="36"/>
      <c r="R13" s="36"/>
    </row>
    <row r="14" spans="1:19">
      <c r="A14" s="36"/>
      <c r="B14" s="201" t="s">
        <v>226</v>
      </c>
      <c r="C14" s="83">
        <v>0</v>
      </c>
      <c r="D14" s="101">
        <v>0</v>
      </c>
      <c r="E14" s="83">
        <v>0</v>
      </c>
      <c r="F14" s="83">
        <v>0</v>
      </c>
      <c r="G14" s="83">
        <v>0</v>
      </c>
      <c r="H14" s="36"/>
      <c r="I14" s="36"/>
      <c r="J14" s="36"/>
      <c r="K14" s="36"/>
      <c r="L14" s="36"/>
      <c r="M14" s="36"/>
      <c r="N14" s="36"/>
      <c r="O14" s="36"/>
      <c r="P14" s="36"/>
      <c r="R14" s="36"/>
    </row>
    <row r="15" spans="1:19">
      <c r="A15" s="36"/>
      <c r="B15" s="201" t="s">
        <v>227</v>
      </c>
      <c r="C15" s="83">
        <v>0</v>
      </c>
      <c r="D15" s="101">
        <v>0</v>
      </c>
      <c r="E15" s="83">
        <v>0</v>
      </c>
      <c r="F15" s="83">
        <v>0</v>
      </c>
      <c r="G15" s="83">
        <v>0</v>
      </c>
      <c r="H15" s="36"/>
      <c r="I15" s="36"/>
      <c r="J15" s="36"/>
      <c r="K15" s="36"/>
      <c r="L15" s="36"/>
      <c r="M15" s="36"/>
      <c r="N15" s="36"/>
      <c r="O15" s="36"/>
      <c r="P15" s="36"/>
      <c r="R15" s="36"/>
    </row>
    <row r="16" spans="1:19">
      <c r="A16" s="36"/>
      <c r="B16" s="246" t="s">
        <v>228</v>
      </c>
      <c r="C16" s="118">
        <v>252</v>
      </c>
      <c r="D16" s="132">
        <v>357</v>
      </c>
      <c r="E16" s="118" t="s">
        <v>230</v>
      </c>
      <c r="F16" s="83">
        <v>289</v>
      </c>
      <c r="G16" s="83" t="s">
        <v>231</v>
      </c>
      <c r="H16" s="36"/>
      <c r="I16" s="36"/>
      <c r="J16" s="36"/>
      <c r="K16" s="36"/>
      <c r="L16" s="36"/>
      <c r="M16" s="36"/>
      <c r="N16" s="36"/>
      <c r="O16" s="36"/>
      <c r="P16" s="36"/>
      <c r="R16" s="36"/>
    </row>
    <row r="17" spans="1:19">
      <c r="A17" s="36"/>
      <c r="B17" s="246" t="s">
        <v>232</v>
      </c>
      <c r="C17" s="118">
        <v>50.2</v>
      </c>
      <c r="D17" s="132">
        <v>8.1</v>
      </c>
      <c r="E17" s="159" t="s">
        <v>233</v>
      </c>
      <c r="F17" s="83">
        <v>20.9</v>
      </c>
      <c r="G17" s="83">
        <v>5.3</v>
      </c>
      <c r="H17" s="36"/>
      <c r="I17" s="36"/>
      <c r="J17" s="36"/>
      <c r="K17" s="36"/>
      <c r="L17" s="36"/>
      <c r="M17" s="36"/>
      <c r="N17" s="36"/>
      <c r="O17" s="36"/>
      <c r="P17" s="36"/>
      <c r="R17" s="36"/>
    </row>
    <row r="18" spans="1:19">
      <c r="A18" s="36"/>
      <c r="B18" s="246" t="s">
        <v>234</v>
      </c>
      <c r="C18" s="118">
        <v>6.2</v>
      </c>
      <c r="D18" s="132">
        <v>9.9</v>
      </c>
      <c r="E18" s="118">
        <v>4.5</v>
      </c>
      <c r="F18" s="83">
        <v>2.2000000000000002</v>
      </c>
      <c r="G18" s="83">
        <v>6.7</v>
      </c>
      <c r="H18" s="36"/>
      <c r="I18" s="36"/>
      <c r="J18" s="36"/>
      <c r="K18" s="36"/>
      <c r="L18" s="36"/>
      <c r="M18" s="36"/>
      <c r="N18" s="36"/>
      <c r="O18" s="36"/>
      <c r="P18" s="36"/>
      <c r="R18" s="36"/>
    </row>
    <row r="19" spans="1:19">
      <c r="A19" s="36"/>
      <c r="B19" s="201" t="s">
        <v>236</v>
      </c>
      <c r="C19" s="83">
        <v>0</v>
      </c>
      <c r="D19" s="83">
        <v>0</v>
      </c>
      <c r="E19" s="83">
        <v>0</v>
      </c>
      <c r="F19" s="83">
        <v>0</v>
      </c>
      <c r="G19" s="83">
        <v>0</v>
      </c>
      <c r="H19" s="36"/>
      <c r="I19" s="36"/>
      <c r="J19" s="36"/>
      <c r="K19" s="36"/>
      <c r="L19" s="36"/>
      <c r="M19" s="36"/>
      <c r="N19" s="36"/>
      <c r="O19" s="36"/>
      <c r="P19" s="36"/>
      <c r="R19" s="36"/>
    </row>
    <row r="20" spans="1:19">
      <c r="A20" s="36"/>
      <c r="B20" s="36"/>
      <c r="C20" s="36"/>
      <c r="D20" s="36"/>
      <c r="E20" s="36"/>
      <c r="F20" s="36"/>
      <c r="G20" s="36"/>
      <c r="H20" s="36"/>
      <c r="I20" s="36"/>
      <c r="J20" s="36"/>
      <c r="K20" s="36"/>
      <c r="L20" s="36"/>
      <c r="M20" s="36"/>
      <c r="N20" s="36"/>
      <c r="O20" s="36"/>
      <c r="P20" s="36"/>
      <c r="Q20" s="36"/>
      <c r="R20" s="36"/>
      <c r="S20" s="36"/>
    </row>
    <row r="21" spans="1:19">
      <c r="A21" s="36"/>
      <c r="B21" s="797" t="s">
        <v>237</v>
      </c>
      <c r="C21" s="797"/>
      <c r="D21" s="797"/>
      <c r="E21" s="797"/>
      <c r="F21" s="797"/>
      <c r="G21" s="797"/>
      <c r="H21" s="797"/>
      <c r="I21" s="797"/>
      <c r="J21" s="797"/>
      <c r="K21" s="797"/>
      <c r="L21" s="797"/>
      <c r="M21" s="797"/>
      <c r="N21" s="797"/>
      <c r="O21" s="797"/>
      <c r="P21" s="797"/>
      <c r="Q21" s="797"/>
      <c r="R21" s="797"/>
      <c r="S21" s="797"/>
    </row>
    <row r="22" spans="1:19">
      <c r="A22" s="36"/>
      <c r="B22" s="797" t="s">
        <v>238</v>
      </c>
      <c r="C22" s="797"/>
      <c r="D22" s="797"/>
      <c r="E22" s="797"/>
      <c r="F22" s="797"/>
      <c r="G22" s="797"/>
      <c r="H22" s="797"/>
      <c r="I22" s="797"/>
      <c r="J22" s="797"/>
      <c r="K22" s="797"/>
      <c r="L22" s="797"/>
      <c r="M22" s="797"/>
      <c r="N22" s="797"/>
      <c r="O22" s="797"/>
      <c r="P22" s="797"/>
      <c r="Q22" s="797"/>
      <c r="R22" s="797"/>
      <c r="S22" s="797"/>
    </row>
    <row r="23" spans="1:19">
      <c r="A23" s="36"/>
      <c r="B23" s="797" t="s">
        <v>239</v>
      </c>
      <c r="C23" s="797"/>
      <c r="D23" s="797"/>
      <c r="E23" s="797"/>
      <c r="F23" s="797"/>
      <c r="G23" s="797"/>
      <c r="H23" s="797"/>
      <c r="I23" s="797"/>
      <c r="J23" s="797"/>
      <c r="K23" s="797"/>
      <c r="L23" s="797"/>
      <c r="M23" s="797"/>
      <c r="N23" s="797"/>
      <c r="O23" s="797"/>
      <c r="P23" s="797"/>
      <c r="Q23" s="797"/>
      <c r="R23" s="797"/>
      <c r="S23" s="797"/>
    </row>
    <row r="24" spans="1:19">
      <c r="A24" s="36"/>
      <c r="B24" s="797" t="s">
        <v>240</v>
      </c>
      <c r="C24" s="797"/>
      <c r="D24" s="797"/>
      <c r="E24" s="797"/>
      <c r="F24" s="797"/>
      <c r="G24" s="797"/>
      <c r="H24" s="797"/>
      <c r="I24" s="797"/>
      <c r="J24" s="797"/>
      <c r="K24" s="797"/>
      <c r="L24" s="797"/>
      <c r="M24" s="797"/>
      <c r="N24" s="797"/>
      <c r="O24" s="797"/>
      <c r="P24" s="797"/>
      <c r="Q24" s="797"/>
      <c r="R24" s="797"/>
      <c r="S24" s="797"/>
    </row>
    <row r="25" spans="1:19">
      <c r="A25" s="36"/>
      <c r="B25" s="797" t="s">
        <v>241</v>
      </c>
      <c r="C25" s="797"/>
      <c r="D25" s="797"/>
      <c r="E25" s="797"/>
      <c r="F25" s="797"/>
      <c r="G25" s="797"/>
      <c r="H25" s="797"/>
      <c r="I25" s="797"/>
      <c r="J25" s="797"/>
      <c r="K25" s="797"/>
      <c r="L25" s="797"/>
      <c r="M25" s="797"/>
      <c r="N25" s="797"/>
      <c r="O25" s="797"/>
      <c r="P25" s="797"/>
      <c r="Q25" s="797"/>
      <c r="R25" s="797"/>
      <c r="S25" s="797"/>
    </row>
    <row r="26" spans="1:19">
      <c r="A26" s="36"/>
      <c r="B26" s="797" t="s">
        <v>242</v>
      </c>
      <c r="C26" s="797"/>
      <c r="D26" s="797"/>
      <c r="E26" s="797"/>
      <c r="F26" s="797"/>
      <c r="G26" s="797"/>
      <c r="H26" s="797"/>
      <c r="I26" s="797"/>
      <c r="J26" s="797"/>
      <c r="K26" s="797"/>
      <c r="L26" s="797"/>
      <c r="M26" s="797"/>
      <c r="N26" s="797"/>
      <c r="O26" s="797"/>
      <c r="P26" s="797"/>
      <c r="Q26" s="797"/>
      <c r="R26" s="797"/>
      <c r="S26" s="797"/>
    </row>
    <row r="27" spans="1:19">
      <c r="A27" s="36"/>
      <c r="B27" s="797" t="s">
        <v>243</v>
      </c>
      <c r="C27" s="797"/>
      <c r="D27" s="797"/>
      <c r="E27" s="797"/>
      <c r="F27" s="797"/>
      <c r="G27" s="797"/>
      <c r="H27" s="797"/>
      <c r="I27" s="797"/>
      <c r="J27" s="797"/>
      <c r="K27" s="797"/>
      <c r="L27" s="797"/>
      <c r="M27" s="797"/>
      <c r="N27" s="797"/>
      <c r="O27" s="797"/>
      <c r="P27" s="797"/>
      <c r="Q27" s="797"/>
      <c r="R27" s="797"/>
      <c r="S27" s="797"/>
    </row>
    <row r="28" spans="1:19">
      <c r="A28" s="36"/>
      <c r="B28" s="797" t="s">
        <v>244</v>
      </c>
      <c r="C28" s="797"/>
      <c r="D28" s="797"/>
      <c r="E28" s="797"/>
      <c r="F28" s="797"/>
      <c r="G28" s="797"/>
      <c r="H28" s="797"/>
      <c r="I28" s="797"/>
      <c r="J28" s="797"/>
      <c r="K28" s="797"/>
      <c r="L28" s="36"/>
      <c r="M28" s="48"/>
      <c r="N28" s="36"/>
      <c r="O28" s="36"/>
      <c r="P28" s="36"/>
      <c r="Q28" s="36"/>
      <c r="R28" s="36"/>
      <c r="S28" s="36"/>
    </row>
    <row r="29" spans="1:19">
      <c r="A29" s="36"/>
      <c r="B29" s="797" t="s">
        <v>245</v>
      </c>
      <c r="C29" s="797"/>
      <c r="D29" s="797"/>
      <c r="E29" s="797"/>
      <c r="F29" s="797"/>
      <c r="G29" s="797"/>
      <c r="H29" s="797"/>
      <c r="I29" s="797"/>
      <c r="J29" s="797"/>
      <c r="K29" s="797"/>
      <c r="L29" s="36"/>
      <c r="M29" s="48"/>
      <c r="N29" s="36"/>
      <c r="O29" s="36"/>
      <c r="P29" s="36"/>
      <c r="Q29" s="36"/>
      <c r="R29" s="36"/>
      <c r="S29" s="36"/>
    </row>
    <row r="30" spans="1:19">
      <c r="A30" s="36"/>
      <c r="B30" s="797" t="s">
        <v>246</v>
      </c>
      <c r="C30" s="797"/>
      <c r="D30" s="797"/>
      <c r="E30" s="797"/>
      <c r="F30" s="797"/>
      <c r="G30" s="797"/>
      <c r="H30" s="797"/>
      <c r="I30" s="797"/>
      <c r="J30" s="797"/>
      <c r="K30" s="797"/>
      <c r="L30" s="36"/>
      <c r="M30" s="48"/>
      <c r="N30" s="36"/>
      <c r="O30" s="36"/>
      <c r="P30" s="36"/>
      <c r="Q30" s="36"/>
      <c r="R30" s="36"/>
      <c r="S30" s="36"/>
    </row>
    <row r="31" spans="1:19" ht="24" customHeight="1">
      <c r="A31" s="36"/>
      <c r="B31" s="826" t="s">
        <v>247</v>
      </c>
      <c r="C31" s="826"/>
      <c r="D31" s="826"/>
      <c r="E31" s="826"/>
      <c r="F31" s="826"/>
      <c r="G31" s="826"/>
      <c r="H31" s="826"/>
      <c r="I31" s="826"/>
      <c r="J31" s="826"/>
      <c r="K31" s="826"/>
      <c r="L31" s="826"/>
      <c r="M31" s="826"/>
      <c r="N31" s="826"/>
      <c r="O31" s="826"/>
      <c r="P31" s="826"/>
      <c r="Q31" s="826"/>
      <c r="R31" s="826"/>
      <c r="S31" s="826"/>
    </row>
    <row r="32" spans="1:19" ht="24" customHeight="1">
      <c r="A32" s="36"/>
      <c r="B32" s="797" t="s">
        <v>248</v>
      </c>
      <c r="C32" s="797"/>
      <c r="D32" s="797"/>
      <c r="E32" s="797"/>
      <c r="F32" s="797"/>
      <c r="G32" s="797"/>
      <c r="H32" s="797"/>
      <c r="I32" s="797"/>
      <c r="J32" s="797"/>
      <c r="K32" s="797"/>
      <c r="L32" s="797"/>
      <c r="M32" s="797"/>
      <c r="N32" s="797"/>
      <c r="O32" s="797"/>
      <c r="P32" s="797"/>
      <c r="Q32" s="797"/>
      <c r="R32" s="797"/>
      <c r="S32" s="797"/>
    </row>
    <row r="33" spans="1:19">
      <c r="A33" s="36"/>
      <c r="B33" s="826" t="s">
        <v>249</v>
      </c>
      <c r="C33" s="826"/>
      <c r="D33" s="826"/>
      <c r="E33" s="826"/>
      <c r="F33" s="826"/>
      <c r="G33" s="826"/>
      <c r="H33" s="826"/>
      <c r="I33" s="826"/>
      <c r="J33" s="826"/>
      <c r="K33" s="826"/>
      <c r="L33" s="826"/>
      <c r="M33" s="826"/>
      <c r="N33" s="826"/>
      <c r="O33" s="826"/>
      <c r="P33" s="826"/>
      <c r="Q33" s="826"/>
      <c r="R33" s="826"/>
      <c r="S33" s="826"/>
    </row>
    <row r="34" spans="1:19">
      <c r="A34" s="36"/>
      <c r="B34" s="140" t="s">
        <v>287</v>
      </c>
      <c r="C34" s="141"/>
      <c r="D34" s="141"/>
      <c r="E34" s="141"/>
      <c r="F34" s="141"/>
      <c r="G34" s="141"/>
      <c r="H34" s="141"/>
      <c r="I34" s="141"/>
      <c r="J34" s="141"/>
      <c r="K34" s="141"/>
      <c r="L34" s="141"/>
      <c r="M34" s="141"/>
      <c r="N34" s="141"/>
      <c r="O34" s="141"/>
      <c r="P34" s="141"/>
      <c r="Q34" s="141"/>
      <c r="R34" s="141"/>
      <c r="S34" s="141"/>
    </row>
    <row r="35" spans="1:19">
      <c r="A35" s="36"/>
      <c r="B35" s="36"/>
      <c r="C35" s="36"/>
      <c r="D35" s="36"/>
      <c r="E35" s="36"/>
      <c r="F35" s="36"/>
      <c r="G35" s="36"/>
      <c r="H35" s="36"/>
      <c r="I35" s="36"/>
      <c r="J35" s="36"/>
      <c r="K35" s="36"/>
      <c r="L35" s="36"/>
      <c r="M35" s="36"/>
      <c r="N35" s="36"/>
      <c r="O35" s="36"/>
      <c r="P35" s="36"/>
      <c r="Q35" s="36"/>
      <c r="R35" s="36"/>
      <c r="S35" s="36"/>
    </row>
    <row r="36" spans="1:19" ht="15.6">
      <c r="A36" s="36"/>
      <c r="B36" s="139" t="s">
        <v>251</v>
      </c>
      <c r="C36" s="139"/>
      <c r="D36" s="36"/>
      <c r="E36" s="36"/>
      <c r="F36" s="36"/>
      <c r="G36" s="36"/>
      <c r="H36" s="36"/>
      <c r="I36" s="36"/>
      <c r="J36" s="36"/>
      <c r="K36" s="36"/>
      <c r="L36" s="36"/>
      <c r="N36" s="36"/>
    </row>
    <row r="37" spans="1:19">
      <c r="A37" s="36"/>
      <c r="B37" s="36"/>
      <c r="C37" s="36"/>
      <c r="D37" s="36"/>
      <c r="E37" s="36"/>
      <c r="F37" s="36"/>
      <c r="G37" s="36"/>
      <c r="H37" s="36"/>
      <c r="I37" s="36"/>
      <c r="J37" s="36"/>
      <c r="K37" s="36"/>
      <c r="L37" s="36"/>
      <c r="N37" s="36"/>
    </row>
    <row r="38" spans="1:19" ht="14.7" customHeight="1">
      <c r="A38" s="36"/>
      <c r="B38" s="36"/>
      <c r="C38" s="830" t="s">
        <v>288</v>
      </c>
      <c r="D38" s="831"/>
      <c r="E38" s="830" t="s">
        <v>40</v>
      </c>
      <c r="F38" s="831"/>
      <c r="G38" s="830" t="s">
        <v>41</v>
      </c>
      <c r="H38" s="831"/>
      <c r="I38" s="830" t="s">
        <v>42</v>
      </c>
      <c r="J38" s="831"/>
      <c r="K38" s="830" t="s">
        <v>43</v>
      </c>
      <c r="L38" s="831"/>
      <c r="N38" s="36"/>
    </row>
    <row r="39" spans="1:19" ht="21.6">
      <c r="A39" s="36"/>
      <c r="B39" s="143" t="s">
        <v>256</v>
      </c>
      <c r="C39" s="144" t="s">
        <v>257</v>
      </c>
      <c r="D39" s="144" t="s">
        <v>289</v>
      </c>
      <c r="E39" s="144" t="s">
        <v>257</v>
      </c>
      <c r="F39" s="144" t="s">
        <v>261</v>
      </c>
      <c r="G39" s="144" t="s">
        <v>257</v>
      </c>
      <c r="H39" s="144" t="s">
        <v>263</v>
      </c>
      <c r="I39" s="144" t="s">
        <v>257</v>
      </c>
      <c r="J39" s="144" t="s">
        <v>259</v>
      </c>
      <c r="K39" s="144" t="s">
        <v>257</v>
      </c>
      <c r="L39" s="144" t="s">
        <v>265</v>
      </c>
      <c r="N39" s="36"/>
    </row>
    <row r="40" spans="1:19">
      <c r="A40" s="36"/>
      <c r="B40" s="57" t="s">
        <v>55</v>
      </c>
      <c r="C40" s="466">
        <v>2</v>
      </c>
      <c r="D40" s="466">
        <v>124</v>
      </c>
      <c r="E40" s="160">
        <v>5</v>
      </c>
      <c r="F40" s="160">
        <v>38</v>
      </c>
      <c r="G40" s="160">
        <v>1</v>
      </c>
      <c r="H40" s="83">
        <v>5</v>
      </c>
      <c r="I40" s="51">
        <v>6</v>
      </c>
      <c r="J40" s="51">
        <v>106</v>
      </c>
      <c r="K40" s="51">
        <v>5</v>
      </c>
      <c r="L40" s="51">
        <v>24</v>
      </c>
      <c r="N40" s="36"/>
    </row>
    <row r="41" spans="1:19">
      <c r="A41" s="36"/>
      <c r="B41" s="57" t="s">
        <v>266</v>
      </c>
      <c r="C41" s="466">
        <v>0</v>
      </c>
      <c r="D41" s="466">
        <v>0</v>
      </c>
      <c r="E41" s="160">
        <v>0</v>
      </c>
      <c r="F41" s="160">
        <v>0</v>
      </c>
      <c r="G41" s="160">
        <v>0</v>
      </c>
      <c r="H41" s="160" t="s">
        <v>290</v>
      </c>
      <c r="I41" s="51">
        <v>1</v>
      </c>
      <c r="J41" s="51">
        <v>54</v>
      </c>
      <c r="K41" s="51">
        <v>0</v>
      </c>
      <c r="L41" s="51">
        <v>0</v>
      </c>
      <c r="N41" s="36"/>
    </row>
    <row r="42" spans="1:19">
      <c r="A42" s="36"/>
      <c r="B42" s="57" t="s">
        <v>56</v>
      </c>
      <c r="C42" s="466">
        <v>1</v>
      </c>
      <c r="D42" s="466">
        <v>118</v>
      </c>
      <c r="E42" s="160">
        <v>3</v>
      </c>
      <c r="F42" s="160">
        <v>135</v>
      </c>
      <c r="G42" s="160" t="s">
        <v>291</v>
      </c>
      <c r="H42" s="160" t="s">
        <v>292</v>
      </c>
      <c r="I42" s="51">
        <v>1</v>
      </c>
      <c r="J42" s="51">
        <v>2</v>
      </c>
      <c r="K42" s="51">
        <v>1</v>
      </c>
      <c r="L42" s="51">
        <v>1</v>
      </c>
      <c r="N42" s="36"/>
    </row>
    <row r="43" spans="1:19">
      <c r="A43" s="36"/>
      <c r="B43" s="57" t="s">
        <v>57</v>
      </c>
      <c r="C43" s="466">
        <v>0</v>
      </c>
      <c r="D43" s="466">
        <v>0</v>
      </c>
      <c r="E43" s="160">
        <v>0</v>
      </c>
      <c r="F43" s="160">
        <v>158</v>
      </c>
      <c r="G43" s="160">
        <v>4</v>
      </c>
      <c r="H43" s="160">
        <v>92</v>
      </c>
      <c r="I43" s="51">
        <v>0</v>
      </c>
      <c r="J43" s="51">
        <v>0</v>
      </c>
      <c r="K43" s="51">
        <v>1</v>
      </c>
      <c r="L43" s="51">
        <v>19</v>
      </c>
      <c r="N43" s="36"/>
    </row>
    <row r="44" spans="1:19">
      <c r="A44" s="36"/>
      <c r="B44" s="57" t="s">
        <v>58</v>
      </c>
      <c r="C44" s="466">
        <v>1</v>
      </c>
      <c r="D44" s="466">
        <v>8</v>
      </c>
      <c r="E44" s="160">
        <v>1</v>
      </c>
      <c r="F44" s="160">
        <v>26</v>
      </c>
      <c r="G44" s="160">
        <v>0</v>
      </c>
      <c r="H44" s="160" t="s">
        <v>293</v>
      </c>
      <c r="I44" s="51">
        <v>1</v>
      </c>
      <c r="J44" s="51">
        <v>54</v>
      </c>
      <c r="K44" s="51">
        <v>1</v>
      </c>
      <c r="L44" s="51">
        <v>94</v>
      </c>
      <c r="N44" s="36"/>
    </row>
    <row r="45" spans="1:19">
      <c r="A45" s="36"/>
      <c r="B45" s="57" t="s">
        <v>59</v>
      </c>
      <c r="C45" s="466">
        <v>1</v>
      </c>
      <c r="D45" s="466">
        <v>2</v>
      </c>
      <c r="E45" s="160">
        <v>0</v>
      </c>
      <c r="F45" s="160">
        <v>0</v>
      </c>
      <c r="G45" s="160">
        <v>2</v>
      </c>
      <c r="H45" s="83">
        <v>74</v>
      </c>
      <c r="I45" s="51">
        <v>1</v>
      </c>
      <c r="J45" s="51">
        <v>73</v>
      </c>
      <c r="K45" s="51">
        <v>4</v>
      </c>
      <c r="L45" s="51">
        <v>19</v>
      </c>
      <c r="N45" s="36"/>
    </row>
    <row r="46" spans="1:19">
      <c r="A46" s="36"/>
      <c r="B46" s="36"/>
      <c r="C46" s="36"/>
      <c r="D46" s="36"/>
      <c r="E46" s="36"/>
      <c r="F46" s="36"/>
      <c r="G46" s="36"/>
      <c r="H46" s="36"/>
      <c r="I46" s="36"/>
      <c r="J46" s="36"/>
      <c r="K46" s="36"/>
      <c r="L46" s="36"/>
      <c r="N46" s="36"/>
    </row>
    <row r="47" spans="1:19" ht="21.6">
      <c r="A47" s="36"/>
      <c r="B47" s="143" t="s">
        <v>195</v>
      </c>
      <c r="C47" s="144" t="s">
        <v>257</v>
      </c>
      <c r="D47" s="144" t="s">
        <v>294</v>
      </c>
      <c r="E47" s="144" t="s">
        <v>257</v>
      </c>
      <c r="F47" s="144" t="s">
        <v>259</v>
      </c>
      <c r="G47" s="144" t="s">
        <v>257</v>
      </c>
      <c r="H47" s="144" t="s">
        <v>263</v>
      </c>
      <c r="I47" s="144" t="s">
        <v>257</v>
      </c>
      <c r="J47" s="144" t="s">
        <v>259</v>
      </c>
      <c r="K47" s="144" t="s">
        <v>257</v>
      </c>
      <c r="L47" s="144" t="s">
        <v>265</v>
      </c>
      <c r="N47" s="36"/>
    </row>
    <row r="48" spans="1:19">
      <c r="A48" s="36"/>
      <c r="B48" s="57" t="s">
        <v>71</v>
      </c>
      <c r="C48" s="51">
        <v>4</v>
      </c>
      <c r="D48" s="51">
        <v>150</v>
      </c>
      <c r="E48" s="83">
        <v>7</v>
      </c>
      <c r="F48" s="83">
        <v>182</v>
      </c>
      <c r="G48" s="160" t="s">
        <v>295</v>
      </c>
      <c r="H48" s="160" t="s">
        <v>296</v>
      </c>
      <c r="I48" s="160">
        <v>8</v>
      </c>
      <c r="J48" s="51">
        <v>214</v>
      </c>
      <c r="K48" s="51">
        <v>9</v>
      </c>
      <c r="L48" s="51">
        <v>41</v>
      </c>
      <c r="N48" s="36"/>
    </row>
    <row r="49" spans="1:19">
      <c r="A49" s="36"/>
      <c r="B49" s="57" t="s">
        <v>69</v>
      </c>
      <c r="C49" s="51">
        <v>1</v>
      </c>
      <c r="D49" s="51">
        <v>102</v>
      </c>
      <c r="E49" s="83">
        <v>2</v>
      </c>
      <c r="F49" s="83">
        <v>175</v>
      </c>
      <c r="G49" s="160">
        <v>2</v>
      </c>
      <c r="H49" s="83">
        <v>154</v>
      </c>
      <c r="I49" s="51">
        <v>2</v>
      </c>
      <c r="J49" s="51">
        <v>75</v>
      </c>
      <c r="K49" s="51">
        <v>3</v>
      </c>
      <c r="L49" s="51">
        <v>116</v>
      </c>
      <c r="N49" s="36"/>
    </row>
    <row r="50" spans="1:19">
      <c r="A50" s="36"/>
      <c r="B50" s="73"/>
      <c r="C50" s="73"/>
      <c r="D50" s="73"/>
      <c r="E50" s="163"/>
      <c r="F50" s="163"/>
      <c r="G50" s="163"/>
      <c r="H50" s="163"/>
      <c r="I50" s="112"/>
      <c r="J50" s="112"/>
      <c r="K50" s="112"/>
      <c r="L50" s="112"/>
      <c r="M50" s="112"/>
      <c r="N50" s="112"/>
      <c r="O50" s="112"/>
      <c r="P50" s="112"/>
      <c r="Q50" s="112"/>
      <c r="R50" s="112"/>
      <c r="S50" s="112"/>
    </row>
    <row r="51" spans="1:19">
      <c r="A51" s="36"/>
      <c r="B51" s="73"/>
      <c r="C51" s="73"/>
      <c r="D51" s="36"/>
      <c r="E51" s="36"/>
      <c r="F51" s="36"/>
      <c r="G51" s="36"/>
      <c r="H51" s="36"/>
      <c r="I51" s="36"/>
      <c r="J51" s="36"/>
      <c r="K51" s="36"/>
      <c r="L51" s="36"/>
      <c r="M51" s="36"/>
      <c r="N51" s="36"/>
      <c r="O51" s="36"/>
      <c r="P51" s="36"/>
      <c r="Q51" s="36"/>
      <c r="R51" s="36"/>
      <c r="S51" s="36"/>
    </row>
    <row r="52" spans="1:19">
      <c r="A52" s="36"/>
      <c r="B52" s="140" t="s">
        <v>297</v>
      </c>
      <c r="C52" s="73"/>
      <c r="D52" s="36"/>
      <c r="E52" s="36"/>
      <c r="F52" s="36"/>
      <c r="G52" s="36"/>
      <c r="H52" s="36"/>
      <c r="I52" s="36"/>
      <c r="J52" s="36"/>
      <c r="K52" s="36"/>
      <c r="L52" s="36"/>
      <c r="M52" s="36"/>
      <c r="N52" s="36"/>
      <c r="O52" s="36"/>
      <c r="P52" s="36"/>
      <c r="Q52" s="36"/>
      <c r="R52" s="36"/>
      <c r="S52" s="36"/>
    </row>
    <row r="53" spans="1:19">
      <c r="A53" s="36"/>
      <c r="B53" s="140" t="s">
        <v>298</v>
      </c>
      <c r="C53" s="140"/>
      <c r="D53" s="140"/>
      <c r="E53" s="140"/>
      <c r="F53" s="140"/>
      <c r="G53" s="140"/>
      <c r="H53" s="140"/>
      <c r="I53" s="140"/>
      <c r="J53" s="140"/>
      <c r="K53" s="140"/>
      <c r="L53" s="140"/>
      <c r="M53" s="140"/>
      <c r="N53" s="140"/>
      <c r="O53" s="140"/>
      <c r="P53" s="140"/>
      <c r="Q53" s="140"/>
      <c r="R53" s="140"/>
      <c r="S53" s="140"/>
    </row>
    <row r="54" spans="1:19">
      <c r="A54" s="36"/>
      <c r="B54" s="140" t="s">
        <v>299</v>
      </c>
      <c r="C54" s="140"/>
      <c r="D54" s="140"/>
      <c r="E54" s="140"/>
      <c r="F54" s="140"/>
      <c r="G54" s="140"/>
      <c r="H54" s="140"/>
      <c r="I54" s="140"/>
      <c r="J54" s="140"/>
      <c r="K54" s="140"/>
      <c r="L54" s="140"/>
      <c r="M54" s="140"/>
      <c r="N54" s="140"/>
      <c r="O54" s="140"/>
      <c r="P54" s="140"/>
      <c r="Q54" s="140"/>
      <c r="R54" s="140"/>
      <c r="S54" s="140"/>
    </row>
    <row r="55" spans="1:19" ht="14.7" customHeight="1">
      <c r="A55" s="36"/>
      <c r="B55" s="140" t="s">
        <v>300</v>
      </c>
      <c r="C55" s="140"/>
      <c r="D55" s="140"/>
      <c r="E55" s="140"/>
      <c r="F55" s="140"/>
      <c r="G55" s="140"/>
      <c r="H55" s="140"/>
      <c r="I55" s="140"/>
      <c r="J55" s="140"/>
      <c r="K55" s="140"/>
      <c r="L55" s="140"/>
      <c r="M55" s="140"/>
      <c r="N55" s="140"/>
      <c r="O55" s="140"/>
      <c r="P55" s="140"/>
      <c r="Q55" s="140"/>
      <c r="R55" s="140"/>
      <c r="S55" s="140"/>
    </row>
    <row r="56" spans="1:19">
      <c r="A56" s="36"/>
      <c r="B56" s="140" t="s">
        <v>301</v>
      </c>
      <c r="C56" s="140"/>
      <c r="D56" s="140"/>
      <c r="E56" s="140"/>
      <c r="F56" s="140"/>
      <c r="G56" s="140"/>
      <c r="H56" s="140"/>
      <c r="I56" s="140"/>
      <c r="J56" s="140"/>
      <c r="K56" s="140"/>
      <c r="L56" s="140"/>
      <c r="M56" s="140"/>
      <c r="N56" s="140"/>
      <c r="O56" s="140"/>
      <c r="P56" s="140"/>
      <c r="Q56" s="140"/>
      <c r="R56" s="140"/>
      <c r="S56" s="140"/>
    </row>
    <row r="57" spans="1:19">
      <c r="A57" s="36"/>
      <c r="B57" s="140" t="s">
        <v>302</v>
      </c>
      <c r="C57" s="140"/>
      <c r="D57" s="140"/>
      <c r="E57" s="140"/>
      <c r="F57" s="140"/>
      <c r="G57" s="140"/>
      <c r="H57" s="140"/>
      <c r="I57" s="140"/>
      <c r="J57" s="140"/>
      <c r="K57" s="140"/>
      <c r="L57" s="140"/>
      <c r="M57" s="140"/>
      <c r="N57" s="140"/>
      <c r="O57" s="140"/>
      <c r="P57" s="140"/>
      <c r="Q57" s="140"/>
      <c r="R57" s="140"/>
      <c r="S57" s="140"/>
    </row>
    <row r="58" spans="1:19">
      <c r="A58" s="36"/>
      <c r="B58" s="140" t="s">
        <v>303</v>
      </c>
      <c r="C58" s="140"/>
      <c r="D58" s="140"/>
      <c r="E58" s="140"/>
      <c r="F58" s="140"/>
      <c r="G58" s="140"/>
      <c r="H58" s="140"/>
      <c r="I58" s="140"/>
      <c r="J58" s="140"/>
      <c r="K58" s="140"/>
      <c r="L58" s="140"/>
      <c r="M58" s="140"/>
      <c r="N58" s="140"/>
      <c r="O58" s="140"/>
      <c r="P58" s="140"/>
      <c r="Q58" s="140"/>
      <c r="R58" s="140"/>
      <c r="S58" s="140"/>
    </row>
    <row r="59" spans="1:19" ht="14.7" customHeight="1"/>
    <row r="60" spans="1:19">
      <c r="D60" s="141"/>
      <c r="E60" s="141"/>
      <c r="F60" s="141"/>
      <c r="G60" s="141"/>
      <c r="H60" s="141"/>
      <c r="I60" s="141"/>
      <c r="J60" s="141"/>
      <c r="K60" s="141"/>
      <c r="L60" s="141"/>
      <c r="M60" s="141"/>
      <c r="N60" s="141"/>
      <c r="O60" s="141"/>
      <c r="P60" s="141"/>
      <c r="Q60" s="141"/>
      <c r="R60" s="141"/>
      <c r="S60" s="141"/>
    </row>
    <row r="61" spans="1:19">
      <c r="D61" s="141"/>
      <c r="E61" s="141"/>
      <c r="F61" s="141"/>
      <c r="G61" s="141"/>
      <c r="H61" s="141"/>
      <c r="I61" s="141"/>
      <c r="J61" s="141"/>
      <c r="K61" s="141"/>
      <c r="L61" s="141"/>
      <c r="M61" s="141"/>
      <c r="N61" s="141"/>
      <c r="O61" s="141"/>
      <c r="P61" s="141"/>
      <c r="Q61" s="141"/>
      <c r="R61" s="141"/>
      <c r="S61" s="141"/>
    </row>
  </sheetData>
  <sheetProtection algorithmName="SHA-512" hashValue="ogkQBqmJSaEc7iSmde9FzP8g83zJrVLsEjYIv4G/qvzIa9JKam01mEahE/tBr8mDoPMpThNrqRPVqa5W9fxTwg==" saltValue="963Q1AfI0+8FjKn4EJ06EQ==" spinCount="100000" sheet="1" objects="1" scenarios="1"/>
  <mergeCells count="18">
    <mergeCell ref="B33:S33"/>
    <mergeCell ref="C38:D38"/>
    <mergeCell ref="E38:F38"/>
    <mergeCell ref="G38:H38"/>
    <mergeCell ref="I38:J38"/>
    <mergeCell ref="K38:L38"/>
    <mergeCell ref="B32:S32"/>
    <mergeCell ref="B21:S21"/>
    <mergeCell ref="B22:S22"/>
    <mergeCell ref="B23:S23"/>
    <mergeCell ref="B24:S24"/>
    <mergeCell ref="B25:S25"/>
    <mergeCell ref="B26:S26"/>
    <mergeCell ref="B27:S27"/>
    <mergeCell ref="B28:K28"/>
    <mergeCell ref="B29:K29"/>
    <mergeCell ref="B30:K30"/>
    <mergeCell ref="B31:S31"/>
  </mergeCells>
  <hyperlinks>
    <hyperlink ref="A1" location="'Data Pack Overview'!A1" display="H" xr:uid="{7D373B67-8A60-4F1B-97E0-9A6A41A922F3}"/>
  </hyperlink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AC086-92D5-4C52-AC89-B96302944F34}">
  <sheetPr>
    <tabColor theme="4"/>
    <pageSetUpPr fitToPage="1"/>
  </sheetPr>
  <dimension ref="A1:Q121"/>
  <sheetViews>
    <sheetView showGridLines="0" zoomScale="110" zoomScaleNormal="110" workbookViewId="0">
      <selection activeCell="D11" sqref="D11"/>
    </sheetView>
  </sheetViews>
  <sheetFormatPr defaultColWidth="8.5546875" defaultRowHeight="14.4"/>
  <cols>
    <col min="1" max="1" width="2.5546875" style="36" customWidth="1"/>
    <col min="2" max="2" width="28.44140625" style="36" bestFit="1" customWidth="1"/>
    <col min="3" max="3" width="9.44140625" style="36" bestFit="1" customWidth="1"/>
    <col min="4" max="4" width="8.5546875" style="36" customWidth="1"/>
    <col min="5" max="16384" width="8.5546875" style="36"/>
  </cols>
  <sheetData>
    <row r="1" spans="1:17">
      <c r="A1" s="18" t="s">
        <v>32</v>
      </c>
    </row>
    <row r="2" spans="1:17" ht="21">
      <c r="B2" s="39" t="s">
        <v>304</v>
      </c>
      <c r="C2" s="39"/>
      <c r="L2" s="80"/>
      <c r="M2" s="80"/>
      <c r="N2" s="80"/>
      <c r="O2" s="80"/>
      <c r="P2" s="80"/>
      <c r="Q2" s="80"/>
    </row>
    <row r="4" spans="1:17" ht="15.6">
      <c r="B4" s="139" t="s">
        <v>305</v>
      </c>
      <c r="C4" s="139"/>
    </row>
    <row r="6" spans="1:17">
      <c r="B6" s="142"/>
      <c r="C6" s="837" t="s">
        <v>306</v>
      </c>
      <c r="D6" s="837"/>
      <c r="E6" s="837" t="s">
        <v>307</v>
      </c>
      <c r="F6" s="837"/>
      <c r="G6" s="837" t="s">
        <v>41</v>
      </c>
      <c r="H6" s="837"/>
      <c r="I6" s="837" t="s">
        <v>42</v>
      </c>
      <c r="J6" s="837"/>
      <c r="K6" s="837" t="s">
        <v>308</v>
      </c>
      <c r="L6" s="837"/>
      <c r="N6"/>
    </row>
    <row r="7" spans="1:17">
      <c r="B7" s="143" t="s">
        <v>309</v>
      </c>
      <c r="C7" s="144" t="s">
        <v>310</v>
      </c>
      <c r="D7" s="144" t="s">
        <v>311</v>
      </c>
      <c r="E7" s="144" t="s">
        <v>310</v>
      </c>
      <c r="F7" s="144" t="s">
        <v>311</v>
      </c>
      <c r="G7" s="144" t="s">
        <v>310</v>
      </c>
      <c r="H7" s="144" t="s">
        <v>311</v>
      </c>
      <c r="I7" s="144" t="s">
        <v>310</v>
      </c>
      <c r="J7" s="144" t="s">
        <v>311</v>
      </c>
      <c r="K7" s="144" t="s">
        <v>310</v>
      </c>
      <c r="L7" s="144" t="s">
        <v>311</v>
      </c>
      <c r="N7" s="145"/>
    </row>
    <row r="8" spans="1:17">
      <c r="B8" s="57" t="s">
        <v>312</v>
      </c>
      <c r="C8" s="83">
        <v>653</v>
      </c>
      <c r="D8" s="128">
        <v>0.45788667687595713</v>
      </c>
      <c r="E8" s="68">
        <v>664</v>
      </c>
      <c r="F8" s="128">
        <v>0.46536144578313254</v>
      </c>
      <c r="G8" s="51">
        <v>561</v>
      </c>
      <c r="H8" s="117">
        <v>0.47399999999999998</v>
      </c>
      <c r="I8" s="51">
        <v>538</v>
      </c>
      <c r="J8" s="117">
        <v>0.46654275092936803</v>
      </c>
      <c r="K8" s="51">
        <v>557</v>
      </c>
      <c r="L8" s="117">
        <v>0.45800000000000002</v>
      </c>
    </row>
    <row r="9" spans="1:17">
      <c r="B9" s="146" t="s">
        <v>313</v>
      </c>
      <c r="C9" s="557">
        <v>8</v>
      </c>
      <c r="D9" s="148">
        <v>0.625</v>
      </c>
      <c r="E9" s="147">
        <v>8</v>
      </c>
      <c r="F9" s="148">
        <v>0.625</v>
      </c>
      <c r="G9" s="51">
        <v>7</v>
      </c>
      <c r="H9" s="117">
        <v>0.57099999999999995</v>
      </c>
      <c r="I9" s="51">
        <v>8</v>
      </c>
      <c r="J9" s="117">
        <v>0.5</v>
      </c>
      <c r="K9" s="51">
        <v>8</v>
      </c>
      <c r="L9" s="117">
        <v>0.5</v>
      </c>
    </row>
    <row r="10" spans="1:17">
      <c r="B10" s="149" t="s">
        <v>314</v>
      </c>
      <c r="C10" s="557">
        <v>180</v>
      </c>
      <c r="D10" s="148">
        <v>0.43888888888888888</v>
      </c>
      <c r="E10" s="150">
        <v>169</v>
      </c>
      <c r="F10" s="128">
        <v>0.38461538461538464</v>
      </c>
      <c r="G10" s="51">
        <v>138</v>
      </c>
      <c r="H10" s="117">
        <v>0.39900000000000002</v>
      </c>
      <c r="I10" s="51">
        <v>133</v>
      </c>
      <c r="J10" s="117">
        <v>0.39849624060150374</v>
      </c>
      <c r="K10" s="51">
        <v>136</v>
      </c>
      <c r="L10" s="117">
        <v>0.41199999999999998</v>
      </c>
    </row>
    <row r="11" spans="1:17">
      <c r="B11" s="149" t="s">
        <v>315</v>
      </c>
      <c r="C11" s="557">
        <v>465</v>
      </c>
      <c r="D11" s="148">
        <v>0.46236559139784944</v>
      </c>
      <c r="E11" s="68">
        <v>487</v>
      </c>
      <c r="F11" s="128">
        <v>0.49075975359342916</v>
      </c>
      <c r="G11" s="51">
        <v>416</v>
      </c>
      <c r="H11" s="117">
        <v>0.498</v>
      </c>
      <c r="I11" s="51">
        <v>397</v>
      </c>
      <c r="J11" s="117">
        <v>0.48866498740554154</v>
      </c>
      <c r="K11" s="51">
        <v>413</v>
      </c>
      <c r="L11" s="117">
        <v>0.47199999999999998</v>
      </c>
    </row>
    <row r="12" spans="1:17">
      <c r="B12" s="57" t="s">
        <v>316</v>
      </c>
      <c r="C12" s="557">
        <v>963</v>
      </c>
      <c r="D12" s="148">
        <v>0.60020768431983385</v>
      </c>
      <c r="E12" s="68">
        <v>1193</v>
      </c>
      <c r="F12" s="128">
        <v>0.60938809723386422</v>
      </c>
      <c r="G12" s="50">
        <v>1050</v>
      </c>
      <c r="H12" s="117">
        <v>0.63500000000000001</v>
      </c>
      <c r="I12" s="50">
        <v>1029</v>
      </c>
      <c r="J12" s="117">
        <v>0.64042759961127305</v>
      </c>
      <c r="K12" s="50">
        <v>1034</v>
      </c>
      <c r="L12" s="117">
        <v>0.65700000000000003</v>
      </c>
    </row>
    <row r="13" spans="1:17">
      <c r="B13" s="57" t="s">
        <v>317</v>
      </c>
      <c r="C13" s="83">
        <v>1616</v>
      </c>
      <c r="D13" s="128">
        <v>0.54269801980198018</v>
      </c>
      <c r="E13" s="68">
        <v>1857</v>
      </c>
      <c r="F13" s="128">
        <v>0.55788906838987617</v>
      </c>
      <c r="G13" s="50">
        <v>1611</v>
      </c>
      <c r="H13" s="117">
        <v>0.57899999999999996</v>
      </c>
      <c r="I13" s="50">
        <v>1567</v>
      </c>
      <c r="J13" s="117">
        <v>0.58072750478621571</v>
      </c>
      <c r="K13" s="50">
        <v>1591</v>
      </c>
      <c r="L13" s="117">
        <v>0.58699999999999997</v>
      </c>
    </row>
    <row r="15" spans="1:17" ht="14.7" customHeight="1">
      <c r="B15" s="38" t="s">
        <v>318</v>
      </c>
      <c r="C15" s="38"/>
    </row>
    <row r="16" spans="1:17">
      <c r="B16" s="151" t="s">
        <v>319</v>
      </c>
      <c r="C16" s="151"/>
      <c r="D16"/>
    </row>
    <row r="17" spans="2:10">
      <c r="B17" s="77" t="s">
        <v>320</v>
      </c>
      <c r="C17" s="38"/>
    </row>
    <row r="18" spans="2:10">
      <c r="B18" s="77" t="s">
        <v>321</v>
      </c>
      <c r="C18" s="38"/>
    </row>
    <row r="19" spans="2:10">
      <c r="B19" s="544" t="s">
        <v>322</v>
      </c>
      <c r="C19" s="558"/>
      <c r="D19"/>
      <c r="E19"/>
      <c r="F19"/>
      <c r="G19"/>
    </row>
    <row r="20" spans="2:10">
      <c r="B20" s="544"/>
      <c r="C20" s="558"/>
      <c r="D20"/>
      <c r="E20"/>
      <c r="F20"/>
      <c r="G20"/>
    </row>
    <row r="21" spans="2:10" ht="18">
      <c r="B21" s="139" t="s">
        <v>323</v>
      </c>
      <c r="C21" s="139"/>
    </row>
    <row r="22" spans="2:10">
      <c r="B22" s="65"/>
      <c r="C22" s="65"/>
    </row>
    <row r="23" spans="2:10">
      <c r="B23" s="61" t="s">
        <v>324</v>
      </c>
      <c r="C23" s="62" t="s">
        <v>39</v>
      </c>
      <c r="D23" s="62" t="s">
        <v>325</v>
      </c>
      <c r="E23" s="62" t="s">
        <v>41</v>
      </c>
      <c r="F23" s="62" t="s">
        <v>42</v>
      </c>
      <c r="G23" s="62" t="s">
        <v>308</v>
      </c>
    </row>
    <row r="24" spans="2:10">
      <c r="B24" s="57" t="s">
        <v>317</v>
      </c>
      <c r="C24" s="127">
        <v>0.45788667687595713</v>
      </c>
      <c r="D24" s="127">
        <v>0.46606334841628999</v>
      </c>
      <c r="E24" s="117">
        <v>0.47399999999999998</v>
      </c>
      <c r="F24" s="117">
        <v>0.46654275092936803</v>
      </c>
      <c r="G24" s="117">
        <v>0.45800000000000002</v>
      </c>
    </row>
    <row r="25" spans="2:10">
      <c r="B25" s="57" t="s">
        <v>326</v>
      </c>
      <c r="C25" s="128">
        <v>0.48275862068965519</v>
      </c>
      <c r="D25" s="127">
        <v>0.44086021505376344</v>
      </c>
      <c r="E25" s="117">
        <v>0.43</v>
      </c>
      <c r="F25" s="117">
        <v>0.375</v>
      </c>
      <c r="G25" s="117">
        <v>0.373</v>
      </c>
    </row>
    <row r="26" spans="2:10">
      <c r="B26" s="57" t="s">
        <v>327</v>
      </c>
      <c r="C26" s="128">
        <v>0.5415282392026578</v>
      </c>
      <c r="D26" s="128">
        <v>0.53559322033898304</v>
      </c>
      <c r="E26" s="117">
        <v>0.48699999999999999</v>
      </c>
      <c r="F26" s="117">
        <v>0.48375451263537905</v>
      </c>
      <c r="G26" s="117">
        <v>0.49299999999999999</v>
      </c>
    </row>
    <row r="27" spans="2:10">
      <c r="B27" s="57" t="s">
        <v>328</v>
      </c>
      <c r="C27" s="83" t="s">
        <v>329</v>
      </c>
      <c r="D27" s="83" t="s">
        <v>329</v>
      </c>
      <c r="E27" s="117" t="s">
        <v>329</v>
      </c>
      <c r="F27" s="117" t="s">
        <v>329</v>
      </c>
      <c r="G27" s="117" t="s">
        <v>329</v>
      </c>
    </row>
    <row r="28" spans="2:10">
      <c r="B28" s="57" t="s">
        <v>330</v>
      </c>
      <c r="C28" s="83" t="s">
        <v>329</v>
      </c>
      <c r="D28" s="83" t="s">
        <v>329</v>
      </c>
      <c r="E28" s="117" t="s">
        <v>329</v>
      </c>
      <c r="F28" s="117" t="s">
        <v>329</v>
      </c>
      <c r="G28" s="117" t="s">
        <v>329</v>
      </c>
    </row>
    <row r="29" spans="2:10">
      <c r="B29" s="57" t="s">
        <v>331</v>
      </c>
      <c r="C29" s="128">
        <v>0.35471698113207545</v>
      </c>
      <c r="D29" s="127">
        <v>0.39926739926739929</v>
      </c>
      <c r="E29" s="117">
        <v>0.47599999999999998</v>
      </c>
      <c r="F29" s="117">
        <v>0.49681528662420382</v>
      </c>
      <c r="G29" s="117">
        <v>0.45500000000000002</v>
      </c>
    </row>
    <row r="30" spans="2:10">
      <c r="B30" s="65"/>
      <c r="C30" s="65"/>
    </row>
    <row r="31" spans="2:10" ht="23.7" customHeight="1">
      <c r="B31" s="797" t="s">
        <v>332</v>
      </c>
      <c r="C31" s="797"/>
      <c r="D31" s="797"/>
      <c r="E31" s="797"/>
      <c r="F31" s="797"/>
      <c r="G31" s="797"/>
      <c r="H31" s="797"/>
      <c r="I31" s="797"/>
      <c r="J31" s="797"/>
    </row>
    <row r="32" spans="2:10" s="82" customFormat="1">
      <c r="B32" s="66" t="s">
        <v>333</v>
      </c>
      <c r="C32" s="65"/>
    </row>
    <row r="33" spans="2:17">
      <c r="B33" s="559"/>
      <c r="C33"/>
      <c r="D33"/>
      <c r="E33"/>
      <c r="F33"/>
      <c r="G33"/>
      <c r="H33"/>
      <c r="I33"/>
      <c r="J33"/>
      <c r="K33"/>
      <c r="L33"/>
      <c r="M33"/>
    </row>
    <row r="34" spans="2:17" ht="18">
      <c r="B34" s="139" t="s">
        <v>334</v>
      </c>
      <c r="C34" s="139"/>
    </row>
    <row r="36" spans="2:17">
      <c r="B36" s="61" t="s">
        <v>335</v>
      </c>
      <c r="C36" s="62" t="s">
        <v>39</v>
      </c>
      <c r="D36" s="62" t="s">
        <v>40</v>
      </c>
      <c r="E36" s="62" t="s">
        <v>41</v>
      </c>
      <c r="F36" s="62" t="s">
        <v>42</v>
      </c>
      <c r="G36" s="62" t="s">
        <v>308</v>
      </c>
    </row>
    <row r="37" spans="2:17">
      <c r="B37" s="57" t="s">
        <v>336</v>
      </c>
      <c r="C37" s="110">
        <v>0.68709677419354831</v>
      </c>
      <c r="D37" s="110">
        <v>0.68163934426229511</v>
      </c>
      <c r="E37" s="110">
        <v>0.59884615384615392</v>
      </c>
      <c r="F37" s="152">
        <v>0.63</v>
      </c>
      <c r="G37" s="51">
        <v>0.64</v>
      </c>
    </row>
    <row r="38" spans="2:17">
      <c r="B38" s="57" t="s">
        <v>337</v>
      </c>
      <c r="C38" s="110">
        <v>0.85299596702481162</v>
      </c>
      <c r="D38" s="110">
        <v>0.85278080051718674</v>
      </c>
      <c r="E38" s="110">
        <v>0.88461651357750637</v>
      </c>
      <c r="F38" s="152">
        <v>0.88</v>
      </c>
      <c r="G38" s="51">
        <v>0.87</v>
      </c>
    </row>
    <row r="39" spans="2:17">
      <c r="B39" s="57" t="s">
        <v>338</v>
      </c>
      <c r="C39" s="110">
        <v>0.90995394538629959</v>
      </c>
      <c r="D39" s="110">
        <v>0.89238665643880111</v>
      </c>
      <c r="E39" s="110">
        <v>0.8612719190323167</v>
      </c>
      <c r="F39" s="152">
        <v>0.85</v>
      </c>
      <c r="G39" s="51">
        <v>0.84</v>
      </c>
    </row>
    <row r="40" spans="2:17">
      <c r="B40" s="57" t="s">
        <v>339</v>
      </c>
      <c r="C40" s="110">
        <v>0.86041443424187292</v>
      </c>
      <c r="D40" s="110">
        <v>0.89271861182678458</v>
      </c>
      <c r="E40" s="110">
        <v>0.89497305775610625</v>
      </c>
      <c r="F40" s="152">
        <v>0.89</v>
      </c>
      <c r="G40" s="51">
        <v>0.87</v>
      </c>
    </row>
    <row r="41" spans="2:17">
      <c r="B41" s="57" t="s">
        <v>340</v>
      </c>
      <c r="C41" s="110">
        <v>0.78119426851643947</v>
      </c>
      <c r="D41" s="110">
        <v>0.75840014639329478</v>
      </c>
      <c r="E41" s="110">
        <v>0.74252577120673591</v>
      </c>
      <c r="F41" s="152">
        <v>0.73</v>
      </c>
      <c r="G41" s="51">
        <v>0.71</v>
      </c>
      <c r="Q41" s="36" t="s">
        <v>1</v>
      </c>
    </row>
    <row r="43" spans="2:17">
      <c r="B43" s="38" t="s">
        <v>341</v>
      </c>
      <c r="C43" s="38"/>
    </row>
    <row r="44" spans="2:17">
      <c r="B44" s="151" t="s">
        <v>342</v>
      </c>
      <c r="C44" s="151"/>
      <c r="D44"/>
      <c r="E44"/>
      <c r="F44"/>
      <c r="G44"/>
      <c r="H44"/>
      <c r="I44"/>
      <c r="J44"/>
      <c r="K44"/>
      <c r="L44"/>
      <c r="M44"/>
    </row>
    <row r="45" spans="2:17">
      <c r="B45" s="544" t="s">
        <v>343</v>
      </c>
      <c r="C45" s="151"/>
      <c r="D45"/>
      <c r="E45"/>
      <c r="F45"/>
      <c r="G45"/>
      <c r="H45"/>
      <c r="I45"/>
      <c r="J45"/>
      <c r="K45"/>
      <c r="L45"/>
      <c r="M45"/>
    </row>
    <row r="46" spans="2:17">
      <c r="B46" s="151" t="s">
        <v>344</v>
      </c>
      <c r="C46"/>
      <c r="D46"/>
      <c r="E46"/>
      <c r="F46"/>
      <c r="G46"/>
      <c r="H46"/>
      <c r="I46"/>
      <c r="J46"/>
      <c r="K46"/>
      <c r="L46"/>
      <c r="M46"/>
    </row>
    <row r="47" spans="2:17">
      <c r="B47" s="77"/>
    </row>
    <row r="48" spans="2:17" ht="15.6">
      <c r="B48" s="139" t="s">
        <v>345</v>
      </c>
      <c r="C48" s="139"/>
    </row>
    <row r="49" spans="2:11" ht="41.1" customHeight="1">
      <c r="B49" s="836" t="s">
        <v>346</v>
      </c>
      <c r="C49" s="836"/>
      <c r="D49" s="836"/>
      <c r="E49" s="836"/>
      <c r="F49" s="836"/>
      <c r="G49" s="836"/>
      <c r="H49" s="836"/>
      <c r="I49" s="836"/>
      <c r="J49" s="836"/>
    </row>
    <row r="50" spans="2:11">
      <c r="B50" s="65"/>
      <c r="C50" s="65"/>
    </row>
    <row r="51" spans="2:11">
      <c r="B51" s="153"/>
      <c r="C51" s="62" t="s">
        <v>196</v>
      </c>
      <c r="D51" s="62" t="s">
        <v>40</v>
      </c>
      <c r="E51" s="62" t="s">
        <v>41</v>
      </c>
      <c r="F51" s="62" t="s">
        <v>42</v>
      </c>
      <c r="G51" s="62" t="s">
        <v>347</v>
      </c>
      <c r="H51" s="62" t="s">
        <v>96</v>
      </c>
      <c r="I51" s="62" t="s">
        <v>253</v>
      </c>
      <c r="J51" s="62" t="s">
        <v>254</v>
      </c>
      <c r="K51" s="62" t="s">
        <v>255</v>
      </c>
    </row>
    <row r="52" spans="2:11">
      <c r="B52" s="154" t="s">
        <v>348</v>
      </c>
      <c r="C52" s="128">
        <v>0.97598942995627969</v>
      </c>
      <c r="D52" s="127">
        <v>0.98799999999999999</v>
      </c>
      <c r="E52" s="117">
        <v>0.98599999999999999</v>
      </c>
      <c r="F52" s="117">
        <v>0.99199999999999999</v>
      </c>
      <c r="G52" s="117">
        <v>0.98499999999999999</v>
      </c>
      <c r="H52" s="117">
        <v>0.98299999999999998</v>
      </c>
      <c r="I52" s="117">
        <v>0.98599999999999999</v>
      </c>
      <c r="J52" s="117">
        <v>0.97399999999999998</v>
      </c>
      <c r="K52" s="117">
        <v>0.97199999999999998</v>
      </c>
    </row>
    <row r="53" spans="2:11">
      <c r="B53" s="65"/>
      <c r="C53" s="65"/>
    </row>
    <row r="54" spans="2:11" ht="67.5" customHeight="1">
      <c r="B54" s="797" t="s">
        <v>349</v>
      </c>
      <c r="C54" s="797"/>
      <c r="D54" s="797"/>
      <c r="E54" s="797"/>
      <c r="F54" s="797"/>
      <c r="G54" s="797"/>
      <c r="H54" s="797"/>
      <c r="I54" s="797"/>
      <c r="J54" s="797"/>
    </row>
    <row r="55" spans="2:11" ht="17.850000000000001" customHeight="1">
      <c r="B55" s="88" t="s">
        <v>350</v>
      </c>
      <c r="C55" s="539"/>
      <c r="D55" s="539"/>
    </row>
    <row r="58" spans="2:11" ht="15.6">
      <c r="B58" s="139" t="s">
        <v>351</v>
      </c>
      <c r="C58" s="139"/>
    </row>
    <row r="60" spans="2:11">
      <c r="B60" s="61" t="s">
        <v>352</v>
      </c>
      <c r="C60" s="62" t="s">
        <v>353</v>
      </c>
      <c r="D60" s="62" t="s">
        <v>354</v>
      </c>
      <c r="E60" s="62" t="s">
        <v>41</v>
      </c>
      <c r="F60" s="62" t="s">
        <v>355</v>
      </c>
      <c r="G60" s="62" t="s">
        <v>197</v>
      </c>
      <c r="H60" s="62" t="s">
        <v>356</v>
      </c>
      <c r="I60" s="62" t="s">
        <v>357</v>
      </c>
      <c r="J60" s="62" t="s">
        <v>358</v>
      </c>
      <c r="K60" s="62" t="s">
        <v>359</v>
      </c>
    </row>
    <row r="61" spans="2:11">
      <c r="B61" s="57" t="s">
        <v>360</v>
      </c>
      <c r="C61" s="690"/>
      <c r="D61" s="114">
        <v>0.61</v>
      </c>
      <c r="E61" s="114">
        <v>0.58667883211678828</v>
      </c>
      <c r="F61" s="98">
        <v>0.69599999999999995</v>
      </c>
      <c r="G61" s="98">
        <v>0.623</v>
      </c>
      <c r="H61" s="98">
        <v>0.623</v>
      </c>
      <c r="I61" s="98">
        <v>0.56200000000000006</v>
      </c>
      <c r="J61" s="98">
        <v>0.625</v>
      </c>
      <c r="K61" s="98">
        <v>0.56200000000000006</v>
      </c>
    </row>
    <row r="62" spans="2:11">
      <c r="B62" s="57" t="s">
        <v>361</v>
      </c>
      <c r="C62" s="690"/>
      <c r="D62" s="114">
        <v>0</v>
      </c>
      <c r="E62" s="114">
        <v>1.7335766423357664E-2</v>
      </c>
      <c r="F62" s="98">
        <v>0.02</v>
      </c>
      <c r="G62" s="98">
        <v>8.0000000000000002E-3</v>
      </c>
      <c r="H62" s="98">
        <v>7.0000000000000001E-3</v>
      </c>
      <c r="I62" s="98">
        <v>4.0000000000000001E-3</v>
      </c>
      <c r="J62" s="98">
        <v>0</v>
      </c>
      <c r="K62" s="98">
        <v>4.0000000000000001E-3</v>
      </c>
    </row>
    <row r="63" spans="2:11">
      <c r="B63" s="57" t="s">
        <v>362</v>
      </c>
      <c r="C63" s="690"/>
      <c r="D63" s="114">
        <v>0.15999999999999998</v>
      </c>
      <c r="E63" s="114">
        <v>0.1478102189781022</v>
      </c>
      <c r="F63" s="98">
        <v>0.121</v>
      </c>
      <c r="G63" s="98">
        <v>0.18</v>
      </c>
      <c r="H63" s="98">
        <v>0.19</v>
      </c>
      <c r="I63" s="98">
        <v>0.254</v>
      </c>
      <c r="J63" s="98">
        <v>0.22800000000000001</v>
      </c>
      <c r="K63" s="98">
        <v>0.254</v>
      </c>
    </row>
    <row r="64" spans="2:11">
      <c r="B64" s="57" t="s">
        <v>363</v>
      </c>
      <c r="C64" s="690"/>
      <c r="D64" s="114">
        <v>9.9999999999999992E-2</v>
      </c>
      <c r="E64" s="114">
        <v>0.12956204379562045</v>
      </c>
      <c r="F64" s="98">
        <v>0.108</v>
      </c>
      <c r="G64" s="98">
        <v>0.109</v>
      </c>
      <c r="H64" s="98">
        <v>8.8999999999999996E-2</v>
      </c>
      <c r="I64" s="98">
        <v>9.2999999999999999E-2</v>
      </c>
      <c r="J64" s="98">
        <v>8.6999999999999994E-2</v>
      </c>
      <c r="K64" s="98">
        <v>9.2999999999999999E-2</v>
      </c>
    </row>
    <row r="65" spans="2:11">
      <c r="B65" s="57" t="s">
        <v>364</v>
      </c>
      <c r="C65" s="690"/>
      <c r="D65" s="69">
        <v>0</v>
      </c>
      <c r="E65" s="114">
        <v>1.824817518248175E-2</v>
      </c>
      <c r="F65" s="98">
        <v>2.1999999999999999E-2</v>
      </c>
      <c r="G65" s="98">
        <v>1.7999999999999999E-2</v>
      </c>
      <c r="H65" s="98">
        <v>1.7999999999999999E-2</v>
      </c>
      <c r="I65" s="98">
        <v>2.4E-2</v>
      </c>
      <c r="J65" s="98">
        <v>2.3E-2</v>
      </c>
      <c r="K65" s="98">
        <v>2.4E-2</v>
      </c>
    </row>
    <row r="66" spans="2:11">
      <c r="B66" s="57" t="s">
        <v>365</v>
      </c>
      <c r="C66" s="690"/>
      <c r="D66" s="69">
        <v>0.01</v>
      </c>
      <c r="E66" s="114">
        <v>1.824817518248175E-2</v>
      </c>
      <c r="F66" s="98">
        <v>1.4E-2</v>
      </c>
      <c r="G66" s="98">
        <v>1.2E-2</v>
      </c>
      <c r="H66" s="98">
        <v>1.2999999999999999E-2</v>
      </c>
      <c r="I66" s="98">
        <v>8.0000000000000002E-3</v>
      </c>
      <c r="J66" s="98">
        <v>0</v>
      </c>
      <c r="K66" s="98">
        <v>8.0000000000000002E-3</v>
      </c>
    </row>
    <row r="67" spans="2:11">
      <c r="B67" s="57" t="s">
        <v>366</v>
      </c>
      <c r="C67" s="690"/>
      <c r="D67" s="69">
        <v>0.01</v>
      </c>
      <c r="E67" s="114">
        <v>1.0036496350364963E-2</v>
      </c>
      <c r="F67" s="98" t="s">
        <v>329</v>
      </c>
      <c r="G67" s="98">
        <v>8.0000000000000002E-3</v>
      </c>
      <c r="H67" s="98">
        <v>8.9999999999999993E-3</v>
      </c>
      <c r="I67" s="98">
        <v>0.01</v>
      </c>
      <c r="J67" s="98">
        <v>1.2E-2</v>
      </c>
      <c r="K67" s="98">
        <v>0.01</v>
      </c>
    </row>
    <row r="68" spans="2:11">
      <c r="B68" s="57" t="s">
        <v>367</v>
      </c>
      <c r="C68" s="690"/>
      <c r="D68" s="69">
        <v>0.01</v>
      </c>
      <c r="E68" s="114">
        <v>9.1240875912408752E-3</v>
      </c>
      <c r="F68" s="98" t="s">
        <v>329</v>
      </c>
      <c r="G68" s="98" t="s">
        <v>329</v>
      </c>
      <c r="H68" s="98">
        <v>8.9999999999999993E-3</v>
      </c>
      <c r="I68" s="98">
        <v>6.0000000000000001E-3</v>
      </c>
      <c r="J68" s="98">
        <v>0</v>
      </c>
      <c r="K68" s="98">
        <v>6.0000000000000001E-3</v>
      </c>
    </row>
    <row r="69" spans="2:11">
      <c r="B69" s="57" t="s">
        <v>368</v>
      </c>
      <c r="C69" s="690"/>
      <c r="D69" s="114">
        <v>0.14000000000000001</v>
      </c>
      <c r="E69" s="114">
        <v>6.295620437956205E-2</v>
      </c>
      <c r="F69" s="98">
        <v>1.9E-2</v>
      </c>
      <c r="G69" s="98">
        <v>4.2000000000000003E-2</v>
      </c>
      <c r="H69" s="98">
        <v>4.2999999999999997E-2</v>
      </c>
      <c r="I69" s="98">
        <v>0.04</v>
      </c>
      <c r="J69" s="98">
        <v>2.5000000000000001E-2</v>
      </c>
      <c r="K69" s="98">
        <v>0.04</v>
      </c>
    </row>
    <row r="71" spans="2:11" ht="34.950000000000003" customHeight="1">
      <c r="B71" s="797" t="s">
        <v>369</v>
      </c>
      <c r="C71" s="797"/>
      <c r="D71" s="797"/>
      <c r="E71" s="797"/>
      <c r="F71" s="797"/>
      <c r="G71" s="797"/>
      <c r="H71" s="797"/>
      <c r="I71" s="797"/>
      <c r="J71" s="797"/>
      <c r="K71" s="797"/>
    </row>
    <row r="72" spans="2:11">
      <c r="B72" s="797" t="s">
        <v>370</v>
      </c>
      <c r="C72" s="797"/>
      <c r="D72" s="797"/>
      <c r="E72" s="797"/>
      <c r="F72" s="797"/>
      <c r="G72" s="797"/>
      <c r="H72" s="797"/>
    </row>
    <row r="73" spans="2:11">
      <c r="B73" s="797" t="s">
        <v>371</v>
      </c>
      <c r="C73" s="797"/>
      <c r="D73" s="797"/>
      <c r="E73" s="797"/>
      <c r="F73" s="797"/>
      <c r="G73" s="797"/>
      <c r="H73" s="797"/>
    </row>
    <row r="74" spans="2:11">
      <c r="B74" s="797" t="s">
        <v>372</v>
      </c>
      <c r="C74" s="797"/>
      <c r="D74" s="797"/>
      <c r="E74" s="797"/>
      <c r="F74" s="797"/>
      <c r="G74" s="797"/>
      <c r="H74" s="797"/>
    </row>
    <row r="75" spans="2:11">
      <c r="B75" s="797" t="s">
        <v>373</v>
      </c>
      <c r="C75" s="797"/>
      <c r="D75" s="797"/>
      <c r="E75" s="797"/>
      <c r="F75" s="797"/>
      <c r="G75" s="797"/>
      <c r="H75" s="797"/>
    </row>
    <row r="76" spans="2:11">
      <c r="B76" s="797" t="s">
        <v>374</v>
      </c>
      <c r="C76" s="797"/>
      <c r="D76" s="797"/>
      <c r="E76" s="797"/>
      <c r="F76" s="797"/>
      <c r="G76" s="797"/>
      <c r="H76" s="797"/>
    </row>
    <row r="77" spans="2:11" ht="37.799999999999997" customHeight="1">
      <c r="B77" s="797" t="s">
        <v>375</v>
      </c>
      <c r="C77" s="797"/>
      <c r="D77" s="797"/>
      <c r="E77" s="797"/>
      <c r="F77" s="797"/>
      <c r="G77" s="797"/>
      <c r="H77" s="797"/>
      <c r="I77" s="797"/>
      <c r="J77" s="797"/>
      <c r="K77" s="797"/>
    </row>
    <row r="78" spans="2:11">
      <c r="B78" s="797" t="s">
        <v>376</v>
      </c>
      <c r="C78" s="797"/>
      <c r="D78" s="797"/>
      <c r="E78" s="797"/>
      <c r="F78" s="797"/>
      <c r="G78" s="797"/>
      <c r="H78" s="797"/>
      <c r="I78" s="797"/>
      <c r="J78" s="797"/>
    </row>
    <row r="79" spans="2:11">
      <c r="B79" s="797" t="s">
        <v>377</v>
      </c>
      <c r="C79" s="797"/>
      <c r="D79" s="797"/>
      <c r="E79" s="797"/>
      <c r="F79" s="797"/>
      <c r="G79" s="797"/>
      <c r="H79" s="797"/>
      <c r="I79" s="797"/>
      <c r="J79" s="797"/>
    </row>
    <row r="80" spans="2:11">
      <c r="B80" s="826" t="s">
        <v>378</v>
      </c>
      <c r="C80" s="826"/>
      <c r="D80" s="826"/>
      <c r="E80" s="826"/>
      <c r="F80" s="826"/>
      <c r="G80" s="826"/>
      <c r="H80" s="826"/>
      <c r="I80" s="826"/>
      <c r="J80" s="826"/>
    </row>
    <row r="81" spans="2:11">
      <c r="B81" s="140" t="s">
        <v>379</v>
      </c>
      <c r="C81" s="141"/>
      <c r="D81" s="141"/>
      <c r="E81" s="141"/>
      <c r="F81" s="141"/>
      <c r="G81" s="141"/>
      <c r="I81" s="141"/>
      <c r="J81" s="141"/>
    </row>
    <row r="82" spans="2:11" customFormat="1" ht="25.95" customHeight="1">
      <c r="B82" s="826" t="s">
        <v>380</v>
      </c>
      <c r="C82" s="826"/>
      <c r="D82" s="826"/>
      <c r="E82" s="826"/>
      <c r="F82" s="826"/>
      <c r="G82" s="826"/>
      <c r="H82" s="826"/>
      <c r="I82" s="826"/>
      <c r="J82" s="826"/>
      <c r="K82" s="826"/>
    </row>
    <row r="121" spans="2:13">
      <c r="B121" s="75" t="s">
        <v>89</v>
      </c>
      <c r="C121" s="75"/>
      <c r="D121" s="75"/>
      <c r="E121" s="75"/>
      <c r="F121" s="75"/>
      <c r="G121" s="75"/>
      <c r="H121" s="75"/>
      <c r="I121" s="75"/>
      <c r="J121" s="75"/>
      <c r="K121" s="75"/>
      <c r="L121" s="75"/>
      <c r="M121" s="75"/>
    </row>
  </sheetData>
  <sheetProtection algorithmName="SHA-512" hashValue="9z/5YDcJcbtdD8tMjGEu+73aSNMEns+HStXbt/RK9HKpXsDVpt4Xv5k8Dm7DZqselQF0p6LBHJfnxa9PoRyqnw==" saltValue="Jo9LVJBPjZK+KRz7IlaNQw==" spinCount="100000" sheet="1" objects="1" scenarios="1"/>
  <mergeCells count="19">
    <mergeCell ref="K6:L6"/>
    <mergeCell ref="B31:J31"/>
    <mergeCell ref="C6:D6"/>
    <mergeCell ref="E6:F6"/>
    <mergeCell ref="G6:H6"/>
    <mergeCell ref="I6:J6"/>
    <mergeCell ref="B79:J79"/>
    <mergeCell ref="B80:J80"/>
    <mergeCell ref="B77:K77"/>
    <mergeCell ref="B82:K82"/>
    <mergeCell ref="B49:J49"/>
    <mergeCell ref="B54:J54"/>
    <mergeCell ref="B72:H72"/>
    <mergeCell ref="B73:H73"/>
    <mergeCell ref="B74:H74"/>
    <mergeCell ref="B75:H75"/>
    <mergeCell ref="B71:K71"/>
    <mergeCell ref="B76:H76"/>
    <mergeCell ref="B78:J78"/>
  </mergeCells>
  <phoneticPr fontId="112" type="noConversion"/>
  <hyperlinks>
    <hyperlink ref="A1" location="'Data Pack Overview'!A1" display="H" xr:uid="{1098988C-A07A-4A45-AFA2-E434CEAD942A}"/>
  </hyperlinks>
  <pageMargins left="0.25" right="0.25" top="0.75" bottom="0.75" header="0.3" footer="0.3"/>
  <pageSetup paperSize="8" scale="57"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BA86E-9018-47C7-9F23-E382D16D7348}">
  <sheetPr>
    <tabColor theme="4"/>
    <pageSetUpPr fitToPage="1"/>
  </sheetPr>
  <dimension ref="A1:O146"/>
  <sheetViews>
    <sheetView zoomScale="110" zoomScaleNormal="110" workbookViewId="0">
      <selection activeCell="F2" sqref="F2"/>
    </sheetView>
  </sheetViews>
  <sheetFormatPr defaultColWidth="8.5546875" defaultRowHeight="14.4"/>
  <cols>
    <col min="1" max="1" width="2.5546875" style="36" customWidth="1"/>
    <col min="2" max="2" width="22.44140625" style="36" bestFit="1" customWidth="1"/>
    <col min="3" max="9" width="10.5546875" style="36" customWidth="1"/>
    <col min="10" max="10" width="8.5546875" style="36"/>
    <col min="11" max="11" width="10.5546875" style="36" customWidth="1"/>
    <col min="12" max="12" width="63.5546875" style="38" bestFit="1" customWidth="1"/>
    <col min="13" max="16384" width="8.5546875" style="36"/>
  </cols>
  <sheetData>
    <row r="1" spans="1:15">
      <c r="A1" s="18" t="s">
        <v>32</v>
      </c>
    </row>
    <row r="2" spans="1:15" ht="21">
      <c r="B2" s="39" t="s">
        <v>381</v>
      </c>
      <c r="C2" s="39"/>
      <c r="L2" s="40"/>
    </row>
    <row r="3" spans="1:15">
      <c r="L3" s="36"/>
    </row>
    <row r="4" spans="1:15" ht="18">
      <c r="B4" s="81" t="s">
        <v>382</v>
      </c>
      <c r="C4" s="81"/>
      <c r="L4" s="36"/>
    </row>
    <row r="5" spans="1:15">
      <c r="L5" s="36"/>
    </row>
    <row r="6" spans="1:15" ht="14.85" customHeight="1">
      <c r="B6" s="153"/>
      <c r="C6" s="62" t="s">
        <v>39</v>
      </c>
      <c r="D6" s="62" t="s">
        <v>40</v>
      </c>
      <c r="E6" s="62" t="s">
        <v>41</v>
      </c>
      <c r="F6" s="62" t="s">
        <v>42</v>
      </c>
      <c r="G6" s="62" t="s">
        <v>308</v>
      </c>
      <c r="L6" s="36"/>
    </row>
    <row r="7" spans="1:15">
      <c r="B7" s="109" t="s">
        <v>383</v>
      </c>
      <c r="C7" s="164">
        <v>1.4</v>
      </c>
      <c r="D7" s="164">
        <v>1.3037349551905575</v>
      </c>
      <c r="E7" s="101">
        <v>1.4</v>
      </c>
      <c r="F7" s="51">
        <v>2.2999999999999998</v>
      </c>
      <c r="G7" s="51">
        <v>1.6</v>
      </c>
      <c r="L7" s="36"/>
    </row>
    <row r="8" spans="1:15">
      <c r="L8" s="36"/>
    </row>
    <row r="9" spans="1:15">
      <c r="B9" s="38" t="s">
        <v>384</v>
      </c>
      <c r="C9" s="38"/>
      <c r="L9" s="36"/>
    </row>
    <row r="10" spans="1:15">
      <c r="B10" s="38" t="s">
        <v>385</v>
      </c>
      <c r="L10" s="36"/>
    </row>
    <row r="11" spans="1:15" ht="18">
      <c r="B11" s="81" t="s">
        <v>386</v>
      </c>
      <c r="C11" s="81"/>
      <c r="L11" s="36"/>
    </row>
    <row r="13" spans="1:15">
      <c r="B13" s="165"/>
      <c r="C13" s="837" t="s">
        <v>196</v>
      </c>
      <c r="D13" s="837"/>
      <c r="E13" s="837" t="s">
        <v>40</v>
      </c>
      <c r="F13" s="837"/>
      <c r="G13" s="837" t="s">
        <v>41</v>
      </c>
      <c r="H13" s="837"/>
      <c r="L13" s="36"/>
      <c r="O13" s="38"/>
    </row>
    <row r="14" spans="1:15">
      <c r="B14" s="143" t="s">
        <v>387</v>
      </c>
      <c r="C14" s="144" t="s">
        <v>69</v>
      </c>
      <c r="D14" s="144" t="s">
        <v>71</v>
      </c>
      <c r="E14" s="144" t="s">
        <v>69</v>
      </c>
      <c r="F14" s="144" t="s">
        <v>71</v>
      </c>
      <c r="G14" s="144" t="s">
        <v>69</v>
      </c>
      <c r="H14" s="144" t="s">
        <v>71</v>
      </c>
      <c r="L14" s="36"/>
      <c r="O14" s="38"/>
    </row>
    <row r="15" spans="1:15">
      <c r="B15" s="57" t="s">
        <v>388</v>
      </c>
      <c r="C15" s="164">
        <v>5.5</v>
      </c>
      <c r="D15" s="164">
        <v>5.3</v>
      </c>
      <c r="E15" s="164">
        <v>1.2430199430199427</v>
      </c>
      <c r="F15" s="164">
        <v>0.71767151767151749</v>
      </c>
      <c r="G15" s="164">
        <v>2.3546052631578953</v>
      </c>
      <c r="H15" s="164">
        <v>2.3421052631578951</v>
      </c>
      <c r="L15" s="36"/>
      <c r="O15" s="48"/>
    </row>
    <row r="16" spans="1:15">
      <c r="B16" s="57" t="s">
        <v>389</v>
      </c>
      <c r="C16" s="164">
        <v>5.7</v>
      </c>
      <c r="D16" s="164">
        <v>6.6</v>
      </c>
      <c r="E16" s="164">
        <v>2.4961538461538462</v>
      </c>
      <c r="F16" s="164">
        <v>1.5346153846153836</v>
      </c>
      <c r="G16" s="164" t="s">
        <v>329</v>
      </c>
      <c r="H16" s="164" t="s">
        <v>329</v>
      </c>
      <c r="L16" s="36"/>
      <c r="O16" s="48"/>
    </row>
    <row r="17" spans="2:15">
      <c r="B17" s="57" t="s">
        <v>390</v>
      </c>
      <c r="C17" s="164">
        <v>3.3</v>
      </c>
      <c r="D17" s="164">
        <v>2.2000000000000002</v>
      </c>
      <c r="E17" s="164">
        <v>1.4380494505494512</v>
      </c>
      <c r="F17" s="164">
        <v>1.1593088071348954</v>
      </c>
      <c r="G17" s="164">
        <v>1.6332385016595559</v>
      </c>
      <c r="H17" s="164">
        <v>1.3621614716402657</v>
      </c>
      <c r="L17" s="36"/>
      <c r="O17" s="59"/>
    </row>
    <row r="18" spans="2:15">
      <c r="B18" s="57" t="s">
        <v>391</v>
      </c>
      <c r="C18" s="164">
        <v>1.3</v>
      </c>
      <c r="D18" s="164">
        <v>0.9</v>
      </c>
      <c r="E18" s="164">
        <v>1.3979124964255139</v>
      </c>
      <c r="F18" s="164">
        <v>1.3124292601131919</v>
      </c>
      <c r="G18" s="164">
        <v>1.7445405471721191</v>
      </c>
      <c r="H18" s="164">
        <v>1.5801513587891285</v>
      </c>
      <c r="L18" s="36"/>
      <c r="O18" s="48"/>
    </row>
    <row r="19" spans="2:15">
      <c r="B19" s="57" t="s">
        <v>315</v>
      </c>
      <c r="C19" s="164">
        <v>1.3</v>
      </c>
      <c r="D19" s="164">
        <v>1.2</v>
      </c>
      <c r="E19" s="164">
        <v>1.583586608271371</v>
      </c>
      <c r="F19" s="164">
        <v>1.4500701340964</v>
      </c>
      <c r="G19" s="164">
        <v>1.6619885947473265</v>
      </c>
      <c r="H19" s="164">
        <v>1.5933225133317885</v>
      </c>
      <c r="L19" s="36"/>
      <c r="O19" s="48"/>
    </row>
    <row r="20" spans="2:15">
      <c r="B20" s="57" t="s">
        <v>392</v>
      </c>
      <c r="C20" s="164">
        <v>1.3</v>
      </c>
      <c r="D20" s="164">
        <v>1.4</v>
      </c>
      <c r="E20" s="164">
        <v>1.224970379809126</v>
      </c>
      <c r="F20" s="164">
        <v>1.3349026308811949</v>
      </c>
      <c r="G20" s="164">
        <v>1.4627849292995196</v>
      </c>
      <c r="H20" s="164">
        <v>1.5569335808033917</v>
      </c>
      <c r="L20" s="36"/>
      <c r="O20" s="48"/>
    </row>
    <row r="21" spans="2:15">
      <c r="B21" s="57" t="s">
        <v>316</v>
      </c>
      <c r="C21" s="164">
        <v>1.5</v>
      </c>
      <c r="D21" s="164">
        <v>1.5</v>
      </c>
      <c r="E21" s="164">
        <v>1.2207748200936712</v>
      </c>
      <c r="F21" s="164">
        <v>0.96892018779342015</v>
      </c>
      <c r="G21" s="164">
        <v>1.264678656440041</v>
      </c>
      <c r="H21" s="164">
        <v>0.98540751367341572</v>
      </c>
      <c r="L21" s="36"/>
      <c r="O21" s="48"/>
    </row>
    <row r="22" spans="2:15">
      <c r="B22" s="58" t="s">
        <v>393</v>
      </c>
      <c r="C22" s="166">
        <v>1.4</v>
      </c>
      <c r="D22" s="166">
        <v>1.4</v>
      </c>
      <c r="E22" s="166">
        <v>1.5149239349032746</v>
      </c>
      <c r="F22" s="166">
        <v>1.2111311317580005</v>
      </c>
      <c r="G22" s="166">
        <v>1.4403987207178028</v>
      </c>
      <c r="H22" s="166">
        <v>1.4175290792046968</v>
      </c>
      <c r="L22" s="36"/>
      <c r="O22" s="48"/>
    </row>
    <row r="23" spans="2:15">
      <c r="B23" s="65"/>
      <c r="C23" s="65"/>
      <c r="L23" s="48"/>
    </row>
    <row r="24" spans="2:15">
      <c r="B24" s="77" t="s">
        <v>394</v>
      </c>
      <c r="C24" s="65"/>
      <c r="L24" s="48"/>
    </row>
    <row r="25" spans="2:15">
      <c r="B25" s="77" t="s">
        <v>395</v>
      </c>
      <c r="L25" s="48"/>
    </row>
    <row r="26" spans="2:15">
      <c r="B26" s="736" t="s">
        <v>396</v>
      </c>
      <c r="L26" s="48"/>
    </row>
    <row r="27" spans="2:15">
      <c r="B27" s="77"/>
      <c r="L27" s="48"/>
    </row>
    <row r="28" spans="2:15" ht="15.6">
      <c r="B28" s="81" t="s">
        <v>397</v>
      </c>
      <c r="C28" s="81"/>
      <c r="L28" s="48"/>
    </row>
    <row r="29" spans="2:15">
      <c r="L29" s="48"/>
    </row>
    <row r="30" spans="2:15" ht="15.6" customHeight="1">
      <c r="B30" s="61"/>
      <c r="C30" s="837" t="s">
        <v>398</v>
      </c>
      <c r="D30" s="837"/>
      <c r="K30" s="38"/>
      <c r="L30" s="36"/>
    </row>
    <row r="31" spans="2:15">
      <c r="B31" s="57" t="s">
        <v>399</v>
      </c>
      <c r="C31" s="838">
        <v>100</v>
      </c>
      <c r="D31" s="838"/>
      <c r="K31" s="48"/>
      <c r="L31" s="36"/>
    </row>
    <row r="32" spans="2:15">
      <c r="B32" s="57" t="s">
        <v>400</v>
      </c>
      <c r="C32" s="838">
        <v>36</v>
      </c>
      <c r="D32" s="838"/>
      <c r="K32" s="48"/>
      <c r="L32" s="36"/>
    </row>
    <row r="33" spans="2:12">
      <c r="L33" s="48"/>
    </row>
    <row r="34" spans="2:12">
      <c r="B34" s="38" t="s">
        <v>401</v>
      </c>
      <c r="C34" s="38"/>
      <c r="L34" s="36"/>
    </row>
    <row r="35" spans="2:12">
      <c r="L35" s="48"/>
    </row>
    <row r="36" spans="2:12">
      <c r="B36" s="65"/>
      <c r="C36" s="65"/>
      <c r="L36" s="48"/>
    </row>
    <row r="37" spans="2:12">
      <c r="L37" s="48"/>
    </row>
    <row r="38" spans="2:12">
      <c r="L38" s="48"/>
    </row>
    <row r="39" spans="2:12">
      <c r="L39" s="48"/>
    </row>
    <row r="40" spans="2:12">
      <c r="L40" s="48"/>
    </row>
    <row r="41" spans="2:12">
      <c r="L41" s="48"/>
    </row>
    <row r="42" spans="2:12">
      <c r="L42" s="48"/>
    </row>
    <row r="43" spans="2:12">
      <c r="L43" s="48"/>
    </row>
    <row r="44" spans="2:12">
      <c r="L44" s="48"/>
    </row>
    <row r="45" spans="2:12">
      <c r="L45" s="48"/>
    </row>
    <row r="46" spans="2:12">
      <c r="L46" s="48"/>
    </row>
    <row r="146" spans="2:13">
      <c r="B146" s="75" t="s">
        <v>89</v>
      </c>
      <c r="C146" s="75"/>
      <c r="D146" s="75"/>
      <c r="E146" s="75"/>
      <c r="F146" s="75"/>
      <c r="G146" s="75"/>
      <c r="H146" s="75"/>
      <c r="I146" s="75"/>
      <c r="J146" s="75"/>
      <c r="K146" s="75"/>
      <c r="L146" s="77"/>
      <c r="M146" s="75"/>
    </row>
  </sheetData>
  <sheetProtection algorithmName="SHA-512" hashValue="NSLyo5g8cC3ry1EHG6j5isUhE/BaJM9EsXnA2HtGsH0ytiFNuakDuyLKhyUcNdpBZ4VWb/tlJR6C0k4G6TjDDQ==" saltValue="iUV8qwOBdK5BnH5ARIp4lQ==" spinCount="100000" sheet="1" objects="1" scenarios="1"/>
  <mergeCells count="6">
    <mergeCell ref="C32:D32"/>
    <mergeCell ref="C13:D13"/>
    <mergeCell ref="E13:F13"/>
    <mergeCell ref="G13:H13"/>
    <mergeCell ref="C30:D30"/>
    <mergeCell ref="C31:D31"/>
  </mergeCells>
  <hyperlinks>
    <hyperlink ref="A1" location="'Data Pack Overview'!A1" display="H" xr:uid="{9794C136-E205-4863-9675-7B3CEF975E5E}"/>
  </hyperlinks>
  <pageMargins left="0.7" right="0.7" top="0.75" bottom="0.75" header="0.3" footer="0.3"/>
  <pageSetup paperSize="9" scale="51"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Stockland Document</p:Name>
  <p:Description>Stockland Document policy</p:Description>
  <p:Statement/>
  <p:PolicyItems>
    <p:PolicyItem featureId="Microsoft.Office.RecordsManagement.PolicyFeatures.PolicyAudit" staticId="0x01010041C4E719FA9E3F4CBBF8BAED5136E720|1757814118" UniqueId="4ee60e88-0ad2-4f79-ab15-48900a3c49ae">
      <p:Name>Auditing</p:Name>
      <p:Description>Audits user actions on documents and list items to the Audit Log.</p:Description>
      <p:CustomData>
        <Audit>
          <Update/>
          <CheckInOut/>
          <MoveCopy/>
          <DeleteRestore/>
        </Audit>
      </p:CustomData>
    </p:PolicyItem>
  </p:PolicyItems>
</p:Policy>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stgBusinessUnit_0 xmlns="http://schemas.microsoft.com/sharepoint/v3/fields">
      <Terms xmlns="http://schemas.microsoft.com/office/infopath/2007/PartnerControls">
        <TermInfo xmlns="http://schemas.microsoft.com/office/infopath/2007/PartnerControls">
          <TermName xmlns="http://schemas.microsoft.com/office/infopath/2007/PartnerControls">Stakeholder Relations</TermName>
          <TermId xmlns="http://schemas.microsoft.com/office/infopath/2007/PartnerControls">d292252c-f3ca-4e4d-bb03-73b74c380c9a</TermId>
        </TermInfo>
      </Terms>
    </stgBusinessUnit_0>
    <HideFromDelve xmlns="cf961105-a934-4b71-8e6d-2cf022ef6ef7">false</HideFromDelve>
    <stgCriticalDocument xmlns="cf961105-a934-4b71-8e6d-2cf022ef6ef7">false</stgCriticalDocument>
    <_Flow_SignoffStatus xmlns="248063e6-31c4-4fce-9162-0d96ae3c91c6" xsi:nil="true"/>
    <TaxCatchAll xmlns="cf961105-a934-4b71-8e6d-2cf022ef6ef7">
      <Value>3</Value>
      <Value>2</Value>
      <Value>1</Value>
    </TaxCatchAll>
    <lcf76f155ced4ddcb4097134ff3c332f xmlns="248063e6-31c4-4fce-9162-0d96ae3c91c6">
      <Terms xmlns="http://schemas.microsoft.com/office/infopath/2007/PartnerControls"/>
    </lcf76f155ced4ddcb4097134ff3c332f>
    <dee06d9ebfb84e3fabafa5dfab5097e1 xmlns="cf961105-a934-4b71-8e6d-2cf022ef6ef7">
      <Terms xmlns="http://schemas.microsoft.com/office/infopath/2007/PartnerControls"/>
    </dee06d9ebfb84e3fabafa5dfab5097e1>
    <_ip_UnifiedCompliancePolicyProperties xmlns="http://schemas.microsoft.com/sharepoint/v3" xsi:nil="true"/>
    <stgDocumentStatus_0 xmlns="http://schemas.microsoft.com/sharepoint/v3/fields">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f6b0b008-b389-4a7d-9e34-7791edccb8c8</TermId>
        </TermInfo>
      </Terms>
    </stgDocumentStatus_0>
    <stgSecurityClassification_0 xmlns="http://schemas.microsoft.com/sharepoint/v3/fields">
      <Terms xmlns="http://schemas.microsoft.com/office/infopath/2007/PartnerControls">
        <TermInfo xmlns="http://schemas.microsoft.com/office/infopath/2007/PartnerControls">
          <TermName xmlns="http://schemas.microsoft.com/office/infopath/2007/PartnerControls">Internal Use Only</TermName>
          <TermId xmlns="http://schemas.microsoft.com/office/infopath/2007/PartnerControls">35c591f6-481d-4e3c-b972-48c056520b87</TermId>
        </TermInfo>
      </Terms>
    </stgSecurityClassification_0>
    <stgProject_0 xmlns="http://schemas.microsoft.com/sharepoint/v3/fields">
      <Terms xmlns="http://schemas.microsoft.com/office/infopath/2007/PartnerControls"/>
    </stgProject_0>
    <l338ad78560d4857aac0dd2d45648a69 xmlns="cf961105-a934-4b71-8e6d-2cf022ef6ef7">
      <Terms xmlns="http://schemas.microsoft.com/office/infopath/2007/PartnerControls"/>
    </l338ad78560d4857aac0dd2d45648a69>
    <_dlc_DocId xmlns="ffcf7962-f18b-4b12-b69e-10ff2549230f">T7J4VXP7MVWY-1002715204-1180398</_dlc_DocId>
    <_dlc_DocIdUrl xmlns="ffcf7962-f18b-4b12-b69e-10ff2549230f">
      <Url>https://stocklandnet.sharepoint.com/teams/2YK5MV/_layouts/15/DocIdRedir.aspx?ID=T7J4VXP7MVWY-1002715204-1180398</Url>
      <Description>T7J4VXP7MVWY-1002715204-1180398</Description>
    </_dlc_DocIdUrl>
    <SharedWithUsers xmlns="ffcf7962-f18b-4b12-b69e-10ff2549230f">
      <UserInfo>
        <DisplayName>Diana McGuinness</DisplayName>
        <AccountId>39</AccountId>
        <AccountType/>
      </UserInfo>
      <UserInfo>
        <DisplayName>Sherlin Ng</DisplayName>
        <AccountId>1700</AccountId>
        <AccountType/>
      </UserInfo>
    </SharedWithUsers>
  </documentManagement>
</p:properties>
</file>

<file path=customXml/item4.xml><?xml version="1.0" encoding="utf-8"?>
<?mso-contentType ?>
<customXsn xmlns="http://schemas.microsoft.com/office/2006/metadata/customXsn">
  <xsnLocation/>
  <cached>True</cached>
  <openByDefault>False</openByDefault>
  <xsnScope/>
</customXsn>
</file>

<file path=customXml/item5.xml><?xml version="1.0" encoding="utf-8"?>
<?mso-contentType ?>
<SharedContentType xmlns="Microsoft.SharePoint.Taxonomy.ContentTypeSync" SourceId="54bb066a-8283-4cab-bbd0-455bedea8475" ContentTypeId="0x01010041C4E719FA9E3F4CBBF8BAED5136E720" PreviousValue="false"/>
</file>

<file path=customXml/item6.xml><?xml version="1.0" encoding="utf-8"?>
<ct:contentTypeSchema xmlns:ct="http://schemas.microsoft.com/office/2006/metadata/contentType" xmlns:ma="http://schemas.microsoft.com/office/2006/metadata/properties/metaAttributes" ct:_="" ma:_="" ma:contentTypeName="Stockland Document" ma:contentTypeID="0x01010041C4E719FA9E3F4CBBF8BAED5136E72000937AF0B02CFBCE4D991DAFBD109BDFAA" ma:contentTypeVersion="39" ma:contentTypeDescription="Create a new document." ma:contentTypeScope="" ma:versionID="79edacca991298268e35fe3ec4205352">
  <xsd:schema xmlns:xsd="http://www.w3.org/2001/XMLSchema" xmlns:xs="http://www.w3.org/2001/XMLSchema" xmlns:p="http://schemas.microsoft.com/office/2006/metadata/properties" xmlns:ns1="http://schemas.microsoft.com/sharepoint/v3" xmlns:ns2="http://schemas.microsoft.com/sharepoint/v3/fields" xmlns:ns3="cf961105-a934-4b71-8e6d-2cf022ef6ef7" xmlns:ns4="ffcf7962-f18b-4b12-b69e-10ff2549230f" xmlns:ns5="248063e6-31c4-4fce-9162-0d96ae3c91c6" targetNamespace="http://schemas.microsoft.com/office/2006/metadata/properties" ma:root="true" ma:fieldsID="7fe052007098b937bd6ce1b8370216fd" ns1:_="" ns2:_="" ns3:_="" ns4:_="" ns5:_="">
    <xsd:import namespace="http://schemas.microsoft.com/sharepoint/v3"/>
    <xsd:import namespace="http://schemas.microsoft.com/sharepoint/v3/fields"/>
    <xsd:import namespace="cf961105-a934-4b71-8e6d-2cf022ef6ef7"/>
    <xsd:import namespace="ffcf7962-f18b-4b12-b69e-10ff2549230f"/>
    <xsd:import namespace="248063e6-31c4-4fce-9162-0d96ae3c91c6"/>
    <xsd:element name="properties">
      <xsd:complexType>
        <xsd:sequence>
          <xsd:element name="documentManagement">
            <xsd:complexType>
              <xsd:all>
                <xsd:element ref="ns2:stgBusinessUnit_0" minOccurs="0"/>
                <xsd:element ref="ns3:TaxCatchAll" minOccurs="0"/>
                <xsd:element ref="ns3:TaxCatchAllLabel" minOccurs="0"/>
                <xsd:element ref="ns3:stgCriticalDocument" minOccurs="0"/>
                <xsd:element ref="ns2:stgDocumentStatus_0" minOccurs="0"/>
                <xsd:element ref="ns2:stgProject_0" minOccurs="0"/>
                <xsd:element ref="ns2:stgSecurityClassification_0" minOccurs="0"/>
                <xsd:element ref="ns1:_dlc_Exempt" minOccurs="0"/>
                <xsd:element ref="ns4:SharedWithDetails" minOccurs="0"/>
                <xsd:element ref="ns4:SharedWithUsers" minOccurs="0"/>
                <xsd:element ref="ns3:l338ad78560d4857aac0dd2d45648a69" minOccurs="0"/>
                <xsd:element ref="ns3:dee06d9ebfb84e3fabafa5dfab5097e1" minOccurs="0"/>
                <xsd:element ref="ns3:HideFromDelve" minOccurs="0"/>
                <xsd:element ref="ns4:_dlc_DocId" minOccurs="0"/>
                <xsd:element ref="ns4:_dlc_DocIdUrl" minOccurs="0"/>
                <xsd:element ref="ns4:_dlc_DocIdPersistId" minOccurs="0"/>
                <xsd:element ref="ns5:MediaServiceMetadata" minOccurs="0"/>
                <xsd:element ref="ns5:MediaServiceFastMetadata" minOccurs="0"/>
                <xsd:element ref="ns5:MediaServiceDateTaken" minOccurs="0"/>
                <xsd:element ref="ns5:MediaServiceAutoTags" minOccurs="0"/>
                <xsd:element ref="ns5:MediaServiceLocation" minOccurs="0"/>
                <xsd:element ref="ns5:MediaServiceOCR" minOccurs="0"/>
                <xsd:element ref="ns5:MediaServiceEventHashCode" minOccurs="0"/>
                <xsd:element ref="ns5:MediaServiceGenerationTime" minOccurs="0"/>
                <xsd:element ref="ns5:_Flow_SignoffStatus" minOccurs="0"/>
                <xsd:element ref="ns1:_ip_UnifiedCompliancePolicyProperties" minOccurs="0"/>
                <xsd:element ref="ns1:_ip_UnifiedCompliancePolicyUIAction" minOccurs="0"/>
                <xsd:element ref="ns5:MediaServiceAutoKeyPoints" minOccurs="0"/>
                <xsd:element ref="ns5:MediaServiceKeyPoints" minOccurs="0"/>
                <xsd:element ref="ns5:lcf76f155ced4ddcb4097134ff3c332f"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9" nillable="true" ma:displayName="Exempt from Policy" ma:description="" ma:hidden="true" ma:internalName="_dlc_Exempt" ma:readOnly="true">
      <xsd:simpleType>
        <xsd:restriction base="dms:Unknown"/>
      </xsd:simpleType>
    </xsd:element>
    <xsd:element name="_ip_UnifiedCompliancePolicyProperties" ma:index="39" nillable="true" ma:displayName="Unified Compliance Policy Properties" ma:hidden="true" ma:internalName="_ip_UnifiedCompliancePolicyProperties">
      <xsd:simpleType>
        <xsd:restriction base="dms:Note"/>
      </xsd:simpleType>
    </xsd:element>
    <xsd:element name="_ip_UnifiedCompliancePolicyUIAction" ma:index="4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stgBusinessUnit_0" ma:index="8" nillable="true" ma:taxonomy="true" ma:internalName="stgBusinessUnit_0" ma:taxonomyFieldName="stgBusinessUnit" ma:displayName="Business Unit" ma:readOnly="false" ma:default="" ma:fieldId="{3a042f9d-d4fa-4189-b25c-f4769757fefe}" ma:sspId="54bb066a-8283-4cab-bbd0-455bedea8475" ma:termSetId="d21f5e94-f485-4f57-80ff-9db0d6a2ff9c" ma:anchorId="00000000-0000-0000-0000-000000000000" ma:open="false" ma:isKeyword="false">
      <xsd:complexType>
        <xsd:sequence>
          <xsd:element ref="pc:Terms" minOccurs="0" maxOccurs="1"/>
        </xsd:sequence>
      </xsd:complexType>
    </xsd:element>
    <xsd:element name="stgDocumentStatus_0" ma:index="13" nillable="true" ma:taxonomy="true" ma:internalName="stgDocumentStatus_0" ma:taxonomyFieldName="stgDocumentStatus" ma:displayName="Document Status" ma:readOnly="false" ma:default="" ma:fieldId="{daace899-abc4-447e-8183-0216b052fb4e}" ma:sspId="54bb066a-8283-4cab-bbd0-455bedea8475" ma:termSetId="778dd2d4-9faf-4aea-8c8a-7342fda6706a" ma:anchorId="00000000-0000-0000-0000-000000000000" ma:open="false" ma:isKeyword="false">
      <xsd:complexType>
        <xsd:sequence>
          <xsd:element ref="pc:Terms" minOccurs="0" maxOccurs="1"/>
        </xsd:sequence>
      </xsd:complexType>
    </xsd:element>
    <xsd:element name="stgProject_0" ma:index="15" nillable="true" ma:taxonomy="true" ma:internalName="stgProject_0" ma:taxonomyFieldName="stgProject" ma:displayName="Project" ma:default="" ma:fieldId="{53eb4663-305e-4cd1-be32-36903d0d8239}" ma:sspId="54bb066a-8283-4cab-bbd0-455bedea8475" ma:termSetId="53a17470-d7a7-4028-817d-2ff3ffffaea1" ma:anchorId="00000000-0000-0000-0000-000000000000" ma:open="true" ma:isKeyword="false">
      <xsd:complexType>
        <xsd:sequence>
          <xsd:element ref="pc:Terms" minOccurs="0" maxOccurs="1"/>
        </xsd:sequence>
      </xsd:complexType>
    </xsd:element>
    <xsd:element name="stgSecurityClassification_0" ma:index="17" nillable="true" ma:taxonomy="true" ma:internalName="stgSecurityClassification_0" ma:taxonomyFieldName="stgSecurityClassification" ma:displayName="Security Classification" ma:readOnly="false" ma:default="" ma:fieldId="{33a9fa2d-1bf7-49f3-bedf-d0a043bdcfc0}" ma:sspId="54bb066a-8283-4cab-bbd0-455bedea8475" ma:termSetId="e3c4c341-6cca-47ac-b3e3-d451f8e83f3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961105-a934-4b71-8e6d-2cf022ef6ef7" elementFormDefault="qualified">
    <xsd:import namespace="http://schemas.microsoft.com/office/2006/documentManagement/types"/>
    <xsd:import namespace="http://schemas.microsoft.com/office/infopath/2007/PartnerControls"/>
    <xsd:element name="TaxCatchAll" ma:index="9" nillable="true" ma:displayName="Taxonomy Catch All Column" ma:description="" ma:hidden="true" ma:list="{4bd0caba-4bd3-4e04-b53c-bc7a6178a5c0}" ma:internalName="TaxCatchAll" ma:showField="CatchAllData" ma:web="ffcf7962-f18b-4b12-b69e-10ff2549230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4bd0caba-4bd3-4e04-b53c-bc7a6178a5c0}" ma:internalName="TaxCatchAllLabel" ma:readOnly="true" ma:showField="CatchAllDataLabel" ma:web="ffcf7962-f18b-4b12-b69e-10ff2549230f">
      <xsd:complexType>
        <xsd:complexContent>
          <xsd:extension base="dms:MultiChoiceLookup">
            <xsd:sequence>
              <xsd:element name="Value" type="dms:Lookup" maxOccurs="unbounded" minOccurs="0" nillable="true"/>
            </xsd:sequence>
          </xsd:extension>
        </xsd:complexContent>
      </xsd:complexType>
    </xsd:element>
    <xsd:element name="stgCriticalDocument" ma:index="12" nillable="true" ma:displayName="Critical Document" ma:default="0" ma:internalName="stgCriticalDocument">
      <xsd:simpleType>
        <xsd:restriction base="dms:Boolean"/>
      </xsd:simpleType>
    </xsd:element>
    <xsd:element name="l338ad78560d4857aac0dd2d45648a69" ma:index="22" nillable="true" ma:taxonomy="true" ma:internalName="l338ad78560d4857aac0dd2d45648a69" ma:taxonomyFieldName="Activity" ma:displayName="Activity" ma:default="" ma:fieldId="{5338ad78-560d-4857-aac0-dd2d45648a69}" ma:sspId="54bb066a-8283-4cab-bbd0-455bedea8475" ma:termSetId="c59de939-522c-425f-a8b2-053511d4d910" ma:anchorId="00000000-0000-0000-0000-000000000000" ma:open="false" ma:isKeyword="false">
      <xsd:complexType>
        <xsd:sequence>
          <xsd:element ref="pc:Terms" minOccurs="0" maxOccurs="1"/>
        </xsd:sequence>
      </xsd:complexType>
    </xsd:element>
    <xsd:element name="dee06d9ebfb84e3fabafa5dfab5097e1" ma:index="24" nillable="true" ma:taxonomy="true" ma:internalName="dee06d9ebfb84e3fabafa5dfab5097e1" ma:taxonomyFieldName="Document_x0020_Type" ma:displayName="Document Type" ma:default="" ma:fieldId="{dee06d9e-bfb8-4e3f-abaf-a5dfab5097e1}" ma:sspId="54bb066a-8283-4cab-bbd0-455bedea8475" ma:termSetId="6cf5c551-1b92-49f2-b1ea-31137ac22723" ma:anchorId="00000000-0000-0000-0000-000000000000" ma:open="false" ma:isKeyword="false">
      <xsd:complexType>
        <xsd:sequence>
          <xsd:element ref="pc:Terms" minOccurs="0" maxOccurs="1"/>
        </xsd:sequence>
      </xsd:complexType>
    </xsd:element>
    <xsd:element name="HideFromDelve" ma:index="26" nillable="true" ma:displayName="HideFromDelve" ma:default="0" ma:internalName="HideFromDelv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fcf7962-f18b-4b12-b69e-10ff2549230f" elementFormDefault="qualified">
    <xsd:import namespace="http://schemas.microsoft.com/office/2006/documentManagement/types"/>
    <xsd:import namespace="http://schemas.microsoft.com/office/infopath/2007/PartnerControls"/>
    <xsd:element name="SharedWithDetails" ma:index="20" nillable="true" ma:displayName="Shared With Details" ma:description="" ma:internalName="SharedWithDetails" ma:readOnly="true">
      <xsd:simpleType>
        <xsd:restriction base="dms:Note">
          <xsd:maxLength value="255"/>
        </xsd:restriction>
      </xsd:simpleType>
    </xsd:element>
    <xsd:element name="SharedWithUsers" ma:index="2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48063e6-31c4-4fce-9162-0d96ae3c91c6" elementFormDefault="qualified">
    <xsd:import namespace="http://schemas.microsoft.com/office/2006/documentManagement/types"/>
    <xsd:import namespace="http://schemas.microsoft.com/office/infopath/2007/PartnerControls"/>
    <xsd:element name="MediaServiceMetadata" ma:index="30" nillable="true" ma:displayName="MediaServiceMetadata" ma:description="" ma:hidden="true" ma:internalName="MediaServiceMetadata" ma:readOnly="true">
      <xsd:simpleType>
        <xsd:restriction base="dms:Note"/>
      </xsd:simpleType>
    </xsd:element>
    <xsd:element name="MediaServiceFastMetadata" ma:index="31" nillable="true" ma:displayName="MediaServiceFastMetadata" ma:description="" ma:hidden="true" ma:internalName="MediaServiceFastMetadata" ma:readOnly="true">
      <xsd:simpleType>
        <xsd:restriction base="dms:Note"/>
      </xsd:simpleType>
    </xsd:element>
    <xsd:element name="MediaServiceDateTaken" ma:index="32" nillable="true" ma:displayName="MediaServiceDateTaken" ma:description="" ma:hidden="true" ma:internalName="MediaServiceDateTaken" ma:readOnly="true">
      <xsd:simpleType>
        <xsd:restriction base="dms:Text"/>
      </xsd:simpleType>
    </xsd:element>
    <xsd:element name="MediaServiceAutoTags" ma:index="33" nillable="true" ma:displayName="MediaServiceAutoTags" ma:description="" ma:internalName="MediaServiceAutoTags" ma:readOnly="true">
      <xsd:simpleType>
        <xsd:restriction base="dms:Text"/>
      </xsd:simpleType>
    </xsd:element>
    <xsd:element name="MediaServiceLocation" ma:index="34" nillable="true" ma:displayName="MediaServiceLocation" ma:description="" ma:internalName="MediaServiceLocation" ma:readOnly="true">
      <xsd:simpleType>
        <xsd:restriction base="dms:Text"/>
      </xsd:simpleType>
    </xsd:element>
    <xsd:element name="MediaServiceOCR" ma:index="35" nillable="true" ma:displayName="MediaServiceOCR" ma:internalName="MediaServiceOCR" ma:readOnly="true">
      <xsd:simpleType>
        <xsd:restriction base="dms:Note">
          <xsd:maxLength value="255"/>
        </xsd:restrictio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_Flow_SignoffStatus" ma:index="38" nillable="true" ma:displayName="Sign-off status" ma:internalName="Sign_x002d_off_x0020_status">
      <xsd:simpleType>
        <xsd:restriction base="dms:Text"/>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lcf76f155ced4ddcb4097134ff3c332f" ma:index="44" nillable="true" ma:taxonomy="true" ma:internalName="lcf76f155ced4ddcb4097134ff3c332f" ma:taxonomyFieldName="MediaServiceImageTags" ma:displayName="Image Tags" ma:readOnly="false" ma:fieldId="{5cf76f15-5ced-4ddc-b409-7134ff3c332f}" ma:taxonomyMulti="true" ma:sspId="54bb066a-8283-4cab-bbd0-455bedea84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spe:Receivers xmlns:spe="http://schemas.microsoft.com/sharepoint/events">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4DE6E9-5E33-4324-A3AF-05BE74D8A9D8}">
  <ds:schemaRefs>
    <ds:schemaRef ds:uri="office.server.policy"/>
  </ds:schemaRefs>
</ds:datastoreItem>
</file>

<file path=customXml/itemProps2.xml><?xml version="1.0" encoding="utf-8"?>
<ds:datastoreItem xmlns:ds="http://schemas.openxmlformats.org/officeDocument/2006/customXml" ds:itemID="{47E02CB4-9068-4849-876E-2006329AE228}">
  <ds:schemaRefs>
    <ds:schemaRef ds:uri="http://schemas.microsoft.com/sharepoint/v3/contenttype/forms"/>
  </ds:schemaRefs>
</ds:datastoreItem>
</file>

<file path=customXml/itemProps3.xml><?xml version="1.0" encoding="utf-8"?>
<ds:datastoreItem xmlns:ds="http://schemas.openxmlformats.org/officeDocument/2006/customXml" ds:itemID="{172ACF79-FA1F-4596-ACD2-A1D8AD89891A}">
  <ds:schemaRefs>
    <ds:schemaRef ds:uri="http://purl.org/dc/terms/"/>
    <ds:schemaRef ds:uri="http://purl.org/dc/dcmityp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ffcf7962-f18b-4b12-b69e-10ff2549230f"/>
    <ds:schemaRef ds:uri="http://www.w3.org/XML/1998/namespace"/>
    <ds:schemaRef ds:uri="http://purl.org/dc/elements/1.1/"/>
    <ds:schemaRef ds:uri="http://schemas.microsoft.com/sharepoint/v3"/>
    <ds:schemaRef ds:uri="248063e6-31c4-4fce-9162-0d96ae3c91c6"/>
    <ds:schemaRef ds:uri="cf961105-a934-4b71-8e6d-2cf022ef6ef7"/>
    <ds:schemaRef ds:uri="http://schemas.microsoft.com/sharepoint/v3/fields"/>
  </ds:schemaRefs>
</ds:datastoreItem>
</file>

<file path=customXml/itemProps4.xml><?xml version="1.0" encoding="utf-8"?>
<ds:datastoreItem xmlns:ds="http://schemas.openxmlformats.org/officeDocument/2006/customXml" ds:itemID="{417892AF-3F6A-47B7-A3A9-0E0228199DFD}">
  <ds:schemaRefs>
    <ds:schemaRef ds:uri="http://schemas.microsoft.com/office/2006/metadata/customXsn"/>
  </ds:schemaRefs>
</ds:datastoreItem>
</file>

<file path=customXml/itemProps5.xml><?xml version="1.0" encoding="utf-8"?>
<ds:datastoreItem xmlns:ds="http://schemas.openxmlformats.org/officeDocument/2006/customXml" ds:itemID="{B4C153EB-6F64-433B-8BCA-FAE663D56F3A}">
  <ds:schemaRefs>
    <ds:schemaRef ds:uri="Microsoft.SharePoint.Taxonomy.ContentTypeSync"/>
  </ds:schemaRefs>
</ds:datastoreItem>
</file>

<file path=customXml/itemProps6.xml><?xml version="1.0" encoding="utf-8"?>
<ds:datastoreItem xmlns:ds="http://schemas.openxmlformats.org/officeDocument/2006/customXml" ds:itemID="{1C0990DD-525C-4C88-A43B-E5C971C70C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cf961105-a934-4b71-8e6d-2cf022ef6ef7"/>
    <ds:schemaRef ds:uri="ffcf7962-f18b-4b12-b69e-10ff2549230f"/>
    <ds:schemaRef ds:uri="248063e6-31c4-4fce-9162-0d96ae3c91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08DA8BDD-D372-4225-BF55-62DB8BFEDB6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Data Pack Overview</vt:lpstr>
      <vt:lpstr>PEOPLE&gt;&gt;</vt:lpstr>
      <vt:lpstr>Our Workforce</vt:lpstr>
      <vt:lpstr>Remuneration</vt:lpstr>
      <vt:lpstr>Employee Engagement</vt:lpstr>
      <vt:lpstr>Health and Safety_ OLD</vt:lpstr>
      <vt:lpstr>Health and Safety</vt:lpstr>
      <vt:lpstr>Diversity and Inclusion</vt:lpstr>
      <vt:lpstr>Human Capital Development</vt:lpstr>
      <vt:lpstr>ENVIRO &gt; &gt;</vt:lpstr>
      <vt:lpstr>Emissions</vt:lpstr>
      <vt:lpstr>Energy Consumption</vt:lpstr>
      <vt:lpstr>Water</vt:lpstr>
      <vt:lpstr>Waste</vt:lpstr>
      <vt:lpstr>Climate Resilience</vt:lpstr>
      <vt:lpstr>Asset Ratings</vt:lpstr>
      <vt:lpstr>Biodiversity</vt:lpstr>
      <vt:lpstr>COMMUNITY &gt; &gt;</vt:lpstr>
      <vt:lpstr>Community Investment</vt:lpstr>
      <vt:lpstr>Giving &amp; Volunteering</vt:lpstr>
      <vt:lpstr>CUSTOMER &gt; &gt;</vt:lpstr>
      <vt:lpstr>Customer Engagement</vt:lpstr>
      <vt:lpstr>GRI INDEX</vt:lpstr>
      <vt:lpstr>SASB INDEX</vt:lpstr>
    </vt:vector>
  </TitlesOfParts>
  <Manager/>
  <Company>Stockland Pty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Dougal Stacy</dc:creator>
  <cp:keywords/>
  <dc:description/>
  <cp:lastModifiedBy>Sherlin Ng</cp:lastModifiedBy>
  <cp:revision/>
  <dcterms:created xsi:type="dcterms:W3CDTF">2023-03-02T22:45:04Z</dcterms:created>
  <dcterms:modified xsi:type="dcterms:W3CDTF">2023-08-24T02:03:12Z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0x01010041C4E719FA9E3F4CBBF8BAED5136E72000937AF0B02CFBCE4D991DAFBD109BDFAA</vt:lpwstr>
  </property>
  <property fmtid="{D5CDD505-2E9C-101B-9397-08002B2CF9AE}" pid="3" name="_dlc_DocIdItemGuid">
    <vt:lpwstr>c95d4411-4e2c-434e-bded-bc65b260bc35</vt:lpwstr>
  </property>
  <property fmtid="{D5CDD505-2E9C-101B-9397-08002B2CF9AE}" pid="4" name="Activity">
    <vt:lpwstr/>
  </property>
  <property fmtid="{D5CDD505-2E9C-101B-9397-08002B2CF9AE}" pid="5" name="MediaServiceImageTags">
    <vt:lpwstr/>
  </property>
  <property fmtid="{D5CDD505-2E9C-101B-9397-08002B2CF9AE}" pid="6" name="stgBusinessUnit">
    <vt:lpwstr>1;#Stakeholder Relations|d292252c-f3ca-4e4d-bb03-73b74c380c9a</vt:lpwstr>
  </property>
  <property fmtid="{D5CDD505-2E9C-101B-9397-08002B2CF9AE}" pid="7" name="stgDocumentStatus">
    <vt:lpwstr>3;#Draft|f6b0b008-b389-4a7d-9e34-7791edccb8c8</vt:lpwstr>
  </property>
  <property fmtid="{D5CDD505-2E9C-101B-9397-08002B2CF9AE}" pid="8" name="stgProject">
    <vt:lpwstr/>
  </property>
  <property fmtid="{D5CDD505-2E9C-101B-9397-08002B2CF9AE}" pid="9" name="Document Type">
    <vt:lpwstr/>
  </property>
  <property fmtid="{D5CDD505-2E9C-101B-9397-08002B2CF9AE}" pid="10" name="stgSecurityClassification">
    <vt:lpwstr>2;#Internal Use Only|35c591f6-481d-4e3c-b972-48c056520b87</vt:lpwstr>
  </property>
</Properties>
</file>